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mapa\OneDrive\Documentos\PRESUPUESTOS SMAPA\2025 PRESUPUESTO DE INGRESOS Y EGRESOS\"/>
    </mc:Choice>
  </mc:AlternateContent>
  <xr:revisionPtr revIDLastSave="0" documentId="13_ncr:1_{7EF063BB-6E5C-4E2D-AABD-452B117FBE4E}" xr6:coauthVersionLast="47" xr6:coauthVersionMax="47" xr10:uidLastSave="{00000000-0000-0000-0000-000000000000}"/>
  <bookViews>
    <workbookView xWindow="-120" yWindow="-120" windowWidth="29040" windowHeight="15840" tabRatio="872" xr2:uid="{00000000-000D-0000-FFFF-FFFF00000000}"/>
  </bookViews>
  <sheets>
    <sheet name="PRONOSTICO 1RA ING " sheetId="20" r:id="rId1"/>
    <sheet name="ANALITICO DE PLAZAS" sheetId="2" r:id="rId2"/>
    <sheet name="PLANTILLA 2025" sheetId="3" r:id="rId3"/>
    <sheet name="PRES EGRESO PROG 2025" sheetId="19" r:id="rId4"/>
    <sheet name="PRESU. EGRESOS POR GASTO-1 2025" sheetId="10" r:id="rId5"/>
    <sheet name="CLASI. POR TIPO DE GASTO" sheetId="7" r:id="rId6"/>
    <sheet name="CLASIFICACION ADMINISTRATIVA" sheetId="8" r:id="rId7"/>
    <sheet name="organigrama" sheetId="11" r:id="rId8"/>
  </sheets>
  <externalReferences>
    <externalReference r:id="rId9"/>
  </externalReferences>
  <definedNames>
    <definedName name="_xlnm._FilterDatabase" localSheetId="3" hidden="1">'PRES EGRESO PROG 2025'!$A$5:$I$179</definedName>
    <definedName name="_xlnm._FilterDatabase" localSheetId="4" hidden="1">'PRESU. EGRESOS POR GASTO-1 2025'!$A$9:$F$152</definedName>
    <definedName name="_xlnm.Print_Area" localSheetId="2">'PLANTILLA 2025'!$A$1:$X$63</definedName>
    <definedName name="_xlnm.Print_Titles" localSheetId="3">'PRES EGRESO PROG 2025'!$5:$5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5" i="20" l="1"/>
  <c r="M124" i="20"/>
  <c r="W139" i="19"/>
  <c r="W141" i="19"/>
  <c r="W94" i="19"/>
  <c r="W140" i="19"/>
  <c r="W69" i="19"/>
  <c r="W86" i="19"/>
  <c r="W162" i="19"/>
  <c r="W93" i="19"/>
  <c r="W71" i="19"/>
  <c r="W170" i="19"/>
  <c r="W169" i="19"/>
  <c r="W155" i="19"/>
  <c r="W145" i="19"/>
  <c r="W114" i="19"/>
  <c r="U114" i="19"/>
  <c r="F121" i="10" l="1"/>
  <c r="K10" i="8"/>
  <c r="F144" i="10"/>
  <c r="F142" i="10"/>
  <c r="F136" i="10"/>
  <c r="F131" i="10"/>
  <c r="F130" i="10"/>
  <c r="F129" i="10"/>
  <c r="F128" i="10"/>
  <c r="F126" i="10"/>
  <c r="F116" i="10"/>
  <c r="F115" i="10"/>
  <c r="F114" i="10"/>
  <c r="F111" i="10"/>
  <c r="F108" i="10"/>
  <c r="F106" i="10"/>
  <c r="F105" i="10"/>
  <c r="F104" i="10"/>
  <c r="F103" i="10"/>
  <c r="F101" i="10"/>
  <c r="F100" i="10"/>
  <c r="F98" i="10"/>
  <c r="F95" i="10"/>
  <c r="F93" i="10"/>
  <c r="F91" i="10"/>
  <c r="F90" i="10"/>
  <c r="F89" i="10"/>
  <c r="F87" i="10"/>
  <c r="F85" i="10"/>
  <c r="F82" i="10"/>
  <c r="F81" i="10"/>
  <c r="F80" i="10"/>
  <c r="F79" i="10"/>
  <c r="F77" i="10"/>
  <c r="F76" i="10"/>
  <c r="F72" i="10"/>
  <c r="F71" i="10"/>
  <c r="F70" i="10"/>
  <c r="F66" i="10"/>
  <c r="F65" i="10"/>
  <c r="F63" i="10"/>
  <c r="F60" i="10"/>
  <c r="F58" i="10"/>
  <c r="F57" i="10"/>
  <c r="F55" i="10"/>
  <c r="F54" i="10"/>
  <c r="F52" i="10"/>
  <c r="F51" i="10"/>
  <c r="F50" i="10"/>
  <c r="F49" i="10"/>
  <c r="F48" i="10"/>
  <c r="F47" i="10"/>
  <c r="F46" i="10"/>
  <c r="F42" i="10"/>
  <c r="F41" i="10"/>
  <c r="F40" i="10"/>
  <c r="F39" i="10"/>
  <c r="F26" i="10"/>
  <c r="F22" i="10"/>
  <c r="F19" i="10"/>
  <c r="F15" i="10"/>
  <c r="W67" i="19"/>
  <c r="F38" i="10" s="1"/>
  <c r="W77" i="19"/>
  <c r="W33" i="19"/>
  <c r="F67" i="10" s="1"/>
  <c r="W135" i="19"/>
  <c r="W87" i="19"/>
  <c r="F92" i="10" s="1"/>
  <c r="W128" i="19"/>
  <c r="F44" i="10" s="1"/>
  <c r="W156" i="19"/>
  <c r="W36" i="19"/>
  <c r="F83" i="10" s="1"/>
  <c r="W149" i="19"/>
  <c r="W43" i="19"/>
  <c r="F140" i="10" s="1"/>
  <c r="W105" i="19"/>
  <c r="W82" i="19"/>
  <c r="W37" i="19"/>
  <c r="F86" i="10" s="1"/>
  <c r="W113" i="19"/>
  <c r="F107" i="10" s="1"/>
  <c r="W127" i="19"/>
  <c r="W126" i="19"/>
  <c r="W124" i="19"/>
  <c r="W123" i="19"/>
  <c r="W122" i="19"/>
  <c r="W121" i="19"/>
  <c r="W120" i="19"/>
  <c r="W119" i="19"/>
  <c r="W66" i="19"/>
  <c r="W65" i="19"/>
  <c r="W63" i="19"/>
  <c r="W62" i="19"/>
  <c r="W61" i="19"/>
  <c r="W60" i="19"/>
  <c r="W59" i="19"/>
  <c r="W57" i="19"/>
  <c r="W19" i="19"/>
  <c r="F29" i="10" s="1"/>
  <c r="W18" i="19"/>
  <c r="F28" i="10" s="1"/>
  <c r="W17" i="19"/>
  <c r="F24" i="10" s="1"/>
  <c r="W16" i="19"/>
  <c r="F23" i="10" s="1"/>
  <c r="W15" i="19"/>
  <c r="W14" i="19"/>
  <c r="W13" i="19"/>
  <c r="F18" i="10" s="1"/>
  <c r="W11" i="19"/>
  <c r="F12" i="10" s="1"/>
  <c r="W173" i="19"/>
  <c r="W172" i="19" s="1"/>
  <c r="W168" i="19"/>
  <c r="W167" i="19" s="1"/>
  <c r="W158" i="19"/>
  <c r="W157" i="19" s="1"/>
  <c r="W97" i="19"/>
  <c r="W96" i="19" s="1"/>
  <c r="W50" i="19"/>
  <c r="W49" i="19" s="1"/>
  <c r="W48" i="19" s="1"/>
  <c r="V173" i="19"/>
  <c r="V172" i="19" s="1"/>
  <c r="V168" i="19"/>
  <c r="V167" i="19" s="1"/>
  <c r="V158" i="19"/>
  <c r="V157" i="19" s="1"/>
  <c r="V144" i="19"/>
  <c r="V143" i="19" s="1"/>
  <c r="V118" i="19"/>
  <c r="V117" i="19" s="1"/>
  <c r="V104" i="19"/>
  <c r="V103" i="19" s="1"/>
  <c r="V102" i="19" s="1"/>
  <c r="V97" i="19"/>
  <c r="V96" i="19" s="1"/>
  <c r="V56" i="19"/>
  <c r="V55" i="19" s="1"/>
  <c r="V50" i="19"/>
  <c r="V49" i="19" s="1"/>
  <c r="V48" i="19" s="1"/>
  <c r="V10" i="19"/>
  <c r="V9" i="19" s="1"/>
  <c r="V8" i="19" s="1"/>
  <c r="V7" i="19" s="1"/>
  <c r="V6" i="19" s="1"/>
  <c r="U173" i="19"/>
  <c r="U172" i="19" s="1"/>
  <c r="U168" i="19"/>
  <c r="U167" i="19" s="1"/>
  <c r="U158" i="19"/>
  <c r="U157" i="19" s="1"/>
  <c r="U144" i="19"/>
  <c r="U143" i="19" s="1"/>
  <c r="U118" i="19"/>
  <c r="U117" i="19" s="1"/>
  <c r="U104" i="19"/>
  <c r="U103" i="19" s="1"/>
  <c r="U102" i="19" s="1"/>
  <c r="U97" i="19"/>
  <c r="U96" i="19" s="1"/>
  <c r="U56" i="19"/>
  <c r="U55" i="19" s="1"/>
  <c r="U50" i="19"/>
  <c r="U49" i="19" s="1"/>
  <c r="U48" i="19" s="1"/>
  <c r="U10" i="19"/>
  <c r="U9" i="19" s="1"/>
  <c r="U8" i="19" s="1"/>
  <c r="U7" i="19" s="1"/>
  <c r="U6" i="19" s="1"/>
  <c r="O127" i="20"/>
  <c r="O125" i="20"/>
  <c r="M92" i="20"/>
  <c r="W144" i="19" l="1"/>
  <c r="W143" i="19" s="1"/>
  <c r="W104" i="19"/>
  <c r="W103" i="19" s="1"/>
  <c r="W102" i="19" s="1"/>
  <c r="K12" i="8" s="1"/>
  <c r="W118" i="19"/>
  <c r="W117" i="19" s="1"/>
  <c r="W56" i="19"/>
  <c r="W55" i="19" s="1"/>
  <c r="W54" i="19" s="1"/>
  <c r="K11" i="8" s="1"/>
  <c r="W10" i="19"/>
  <c r="W9" i="19" s="1"/>
  <c r="W8" i="19" s="1"/>
  <c r="V116" i="19"/>
  <c r="U116" i="19"/>
  <c r="V54" i="19"/>
  <c r="U54" i="19"/>
  <c r="R82" i="20"/>
  <c r="R81" i="20"/>
  <c r="R80" i="20"/>
  <c r="R79" i="20"/>
  <c r="R77" i="20"/>
  <c r="S77" i="20" s="1"/>
  <c r="R76" i="20"/>
  <c r="R75" i="20"/>
  <c r="S75" i="20" s="1"/>
  <c r="R74" i="20"/>
  <c r="R73" i="20"/>
  <c r="S15" i="20"/>
  <c r="R15" i="20"/>
  <c r="Q10" i="20"/>
  <c r="Q11" i="20"/>
  <c r="Q12" i="20"/>
  <c r="Q13" i="20"/>
  <c r="Q15" i="20"/>
  <c r="Q16" i="20"/>
  <c r="Q17" i="20"/>
  <c r="R17" i="20" s="1"/>
  <c r="Q18" i="20"/>
  <c r="Q19" i="20"/>
  <c r="Q9" i="20"/>
  <c r="R9" i="20" s="1"/>
  <c r="Q80" i="20"/>
  <c r="Q81" i="20"/>
  <c r="Q82" i="20"/>
  <c r="Q83" i="20"/>
  <c r="Q79" i="20"/>
  <c r="Q74" i="20"/>
  <c r="Q75" i="20"/>
  <c r="Q76" i="20"/>
  <c r="Q77" i="20"/>
  <c r="Q73" i="20"/>
  <c r="R83" i="20"/>
  <c r="S83" i="20"/>
  <c r="Q69" i="20"/>
  <c r="R69" i="20" s="1"/>
  <c r="S69" i="20" s="1"/>
  <c r="Q68" i="20"/>
  <c r="R68" i="20" s="1"/>
  <c r="R66" i="20"/>
  <c r="Q66" i="20"/>
  <c r="Q65" i="20"/>
  <c r="R65" i="20" s="1"/>
  <c r="S65" i="20" s="1"/>
  <c r="R64" i="20"/>
  <c r="Q64" i="20"/>
  <c r="Q63" i="20"/>
  <c r="R63" i="20" s="1"/>
  <c r="R62" i="20"/>
  <c r="Q62" i="20"/>
  <c r="Q61" i="20"/>
  <c r="R61" i="20" s="1"/>
  <c r="R60" i="20"/>
  <c r="Q60" i="20"/>
  <c r="Q59" i="20"/>
  <c r="R59" i="20" s="1"/>
  <c r="S59" i="20" s="1"/>
  <c r="R57" i="20"/>
  <c r="S57" i="20" s="1"/>
  <c r="Q57" i="20"/>
  <c r="R56" i="20"/>
  <c r="Q56" i="20"/>
  <c r="R55" i="20"/>
  <c r="Q55" i="20"/>
  <c r="R54" i="20"/>
  <c r="Q54" i="20"/>
  <c r="R53" i="20"/>
  <c r="Q53" i="20"/>
  <c r="Q52" i="20"/>
  <c r="R52" i="20" s="1"/>
  <c r="S52" i="20" s="1"/>
  <c r="Q51" i="20"/>
  <c r="R51" i="20" s="1"/>
  <c r="R48" i="20"/>
  <c r="S48" i="20" s="1"/>
  <c r="Q48" i="20"/>
  <c r="Q46" i="20"/>
  <c r="R46" i="20" s="1"/>
  <c r="Q44" i="20"/>
  <c r="R44" i="20" s="1"/>
  <c r="Q43" i="20"/>
  <c r="R43" i="20" s="1"/>
  <c r="R42" i="20"/>
  <c r="Q42" i="20"/>
  <c r="R41" i="20"/>
  <c r="S41" i="20" s="1"/>
  <c r="Q41" i="20"/>
  <c r="Q40" i="20"/>
  <c r="R40" i="20" s="1"/>
  <c r="S40" i="20" s="1"/>
  <c r="Q39" i="20"/>
  <c r="R39" i="20" s="1"/>
  <c r="Q38" i="20"/>
  <c r="R38" i="20" s="1"/>
  <c r="Q37" i="20"/>
  <c r="R37" i="20" s="1"/>
  <c r="Q36" i="20"/>
  <c r="R36" i="20" s="1"/>
  <c r="Q34" i="20"/>
  <c r="R34" i="20" s="1"/>
  <c r="R27" i="20"/>
  <c r="S27" i="20" s="1"/>
  <c r="Q30" i="20"/>
  <c r="R30" i="20" s="1"/>
  <c r="Q29" i="20"/>
  <c r="R29" i="20" s="1"/>
  <c r="R28" i="20"/>
  <c r="Q28" i="20"/>
  <c r="S24" i="20"/>
  <c r="S25" i="20"/>
  <c r="R24" i="20"/>
  <c r="R25" i="20"/>
  <c r="Q24" i="20"/>
  <c r="Q25" i="20"/>
  <c r="R23" i="20"/>
  <c r="Q23" i="20"/>
  <c r="R10" i="20"/>
  <c r="R11" i="20"/>
  <c r="R12" i="20"/>
  <c r="R13" i="20"/>
  <c r="R16" i="20"/>
  <c r="R18" i="20"/>
  <c r="R19" i="20"/>
  <c r="R21" i="20"/>
  <c r="M79" i="20"/>
  <c r="M111" i="20"/>
  <c r="M110" i="20"/>
  <c r="M109" i="20"/>
  <c r="M107" i="20"/>
  <c r="M106" i="20" s="1"/>
  <c r="M101" i="20"/>
  <c r="M100" i="20"/>
  <c r="M99" i="20"/>
  <c r="M98" i="20"/>
  <c r="M85" i="20"/>
  <c r="M83" i="20"/>
  <c r="M82" i="20"/>
  <c r="M81" i="20"/>
  <c r="M80" i="20"/>
  <c r="M77" i="20"/>
  <c r="M76" i="20"/>
  <c r="M75" i="20"/>
  <c r="M74" i="20"/>
  <c r="M73" i="20"/>
  <c r="M69" i="20"/>
  <c r="M68" i="20"/>
  <c r="M66" i="20"/>
  <c r="M65" i="20"/>
  <c r="M64" i="20"/>
  <c r="M63" i="20"/>
  <c r="M62" i="20"/>
  <c r="M61" i="20"/>
  <c r="M60" i="20"/>
  <c r="M59" i="20"/>
  <c r="M57" i="20"/>
  <c r="M56" i="20"/>
  <c r="M55" i="20"/>
  <c r="M54" i="20"/>
  <c r="S54" i="20" s="1"/>
  <c r="M53" i="20"/>
  <c r="S53" i="20" s="1"/>
  <c r="M52" i="20"/>
  <c r="M51" i="20"/>
  <c r="M48" i="20"/>
  <c r="M47" i="20" s="1"/>
  <c r="M46" i="20"/>
  <c r="M45" i="20" s="1"/>
  <c r="M44" i="20"/>
  <c r="M43" i="20"/>
  <c r="M42" i="20"/>
  <c r="M41" i="20"/>
  <c r="M40" i="20"/>
  <c r="M39" i="20"/>
  <c r="M38" i="20"/>
  <c r="M37" i="20"/>
  <c r="M36" i="20"/>
  <c r="M34" i="20"/>
  <c r="M30" i="20"/>
  <c r="M29" i="20"/>
  <c r="M25" i="20"/>
  <c r="M24" i="20"/>
  <c r="M23" i="20"/>
  <c r="M22" i="20" s="1"/>
  <c r="M21" i="20"/>
  <c r="S21" i="20" s="1"/>
  <c r="M19" i="20"/>
  <c r="S19" i="20" s="1"/>
  <c r="M18" i="20"/>
  <c r="M17" i="20"/>
  <c r="M16" i="20"/>
  <c r="M15" i="20"/>
  <c r="M13" i="20"/>
  <c r="S13" i="20" s="1"/>
  <c r="M12" i="20"/>
  <c r="S12" i="20" s="1"/>
  <c r="M11" i="20"/>
  <c r="S11" i="20" s="1"/>
  <c r="M10" i="20"/>
  <c r="S10" i="20" s="1"/>
  <c r="M9" i="20"/>
  <c r="M108" i="20"/>
  <c r="M84" i="20"/>
  <c r="L108" i="20"/>
  <c r="L106" i="20"/>
  <c r="L84" i="20"/>
  <c r="L78" i="20"/>
  <c r="L72" i="20"/>
  <c r="L58" i="20"/>
  <c r="L50" i="20"/>
  <c r="L47" i="20"/>
  <c r="L45" i="20"/>
  <c r="L35" i="20"/>
  <c r="L28" i="20"/>
  <c r="L22" i="20"/>
  <c r="L20" i="20"/>
  <c r="L14" i="20"/>
  <c r="L8" i="20"/>
  <c r="K108" i="20"/>
  <c r="K106" i="20"/>
  <c r="K84" i="20"/>
  <c r="K78" i="20"/>
  <c r="K72" i="20"/>
  <c r="K58" i="20"/>
  <c r="K50" i="20"/>
  <c r="K47" i="20"/>
  <c r="K45" i="20"/>
  <c r="K35" i="20"/>
  <c r="K28" i="20"/>
  <c r="K22" i="20"/>
  <c r="K20" i="20"/>
  <c r="K14" i="20"/>
  <c r="K8" i="20"/>
  <c r="W29" i="3"/>
  <c r="E16" i="3"/>
  <c r="T126" i="19"/>
  <c r="T124" i="19"/>
  <c r="T123" i="19"/>
  <c r="T122" i="19"/>
  <c r="T65" i="19"/>
  <c r="T63" i="19"/>
  <c r="T62" i="19"/>
  <c r="T61" i="19"/>
  <c r="T18" i="19"/>
  <c r="T17" i="19"/>
  <c r="T16" i="19"/>
  <c r="T15" i="19"/>
  <c r="S34" i="20" l="1"/>
  <c r="W7" i="19"/>
  <c r="W6" i="19" s="1"/>
  <c r="K9" i="8"/>
  <c r="W116" i="19"/>
  <c r="V47" i="19"/>
  <c r="V46" i="19" s="1"/>
  <c r="V177" i="19" s="1"/>
  <c r="U47" i="19"/>
  <c r="U46" i="19" s="1"/>
  <c r="U177" i="19" s="1"/>
  <c r="V176" i="19"/>
  <c r="U176" i="19"/>
  <c r="S42" i="20"/>
  <c r="S79" i="20"/>
  <c r="M78" i="20"/>
  <c r="S80" i="20"/>
  <c r="S81" i="20"/>
  <c r="S82" i="20"/>
  <c r="S76" i="20"/>
  <c r="M72" i="20"/>
  <c r="S73" i="20"/>
  <c r="S74" i="20"/>
  <c r="S16" i="20"/>
  <c r="S17" i="20"/>
  <c r="S18" i="20"/>
  <c r="S9" i="20"/>
  <c r="S66" i="20"/>
  <c r="S63" i="20"/>
  <c r="S68" i="20"/>
  <c r="S64" i="20"/>
  <c r="S60" i="20"/>
  <c r="M58" i="20"/>
  <c r="S61" i="20"/>
  <c r="S62" i="20"/>
  <c r="S51" i="20"/>
  <c r="M50" i="20"/>
  <c r="S55" i="20"/>
  <c r="S56" i="20"/>
  <c r="S44" i="20"/>
  <c r="S43" i="20"/>
  <c r="S46" i="20"/>
  <c r="S39" i="20"/>
  <c r="S38" i="20"/>
  <c r="S37" i="20"/>
  <c r="S36" i="20"/>
  <c r="M35" i="20"/>
  <c r="S30" i="20"/>
  <c r="S28" i="20"/>
  <c r="S29" i="20"/>
  <c r="S23" i="20"/>
  <c r="M20" i="20"/>
  <c r="M14" i="20"/>
  <c r="M8" i="20"/>
  <c r="M105" i="20"/>
  <c r="M28" i="20"/>
  <c r="K105" i="20"/>
  <c r="L105" i="20"/>
  <c r="F26" i="3"/>
  <c r="H26" i="3" s="1"/>
  <c r="C26" i="3"/>
  <c r="E20" i="2"/>
  <c r="W47" i="19" l="1"/>
  <c r="W46" i="19" s="1"/>
  <c r="W177" i="19" s="1"/>
  <c r="K13" i="8"/>
  <c r="W176" i="19"/>
  <c r="F35" i="3"/>
  <c r="F19" i="3"/>
  <c r="C19" i="3"/>
  <c r="F18" i="3"/>
  <c r="C18" i="3"/>
  <c r="C35" i="3"/>
  <c r="T173" i="19"/>
  <c r="T172" i="19" s="1"/>
  <c r="T168" i="19"/>
  <c r="T167" i="19" s="1"/>
  <c r="T97" i="19"/>
  <c r="T96" i="19" s="1"/>
  <c r="T50" i="19"/>
  <c r="T49" i="19" s="1"/>
  <c r="T48" i="19" s="1"/>
  <c r="T144" i="19" l="1"/>
  <c r="T143" i="19" s="1"/>
  <c r="T158" i="19"/>
  <c r="T157" i="19" l="1"/>
  <c r="H91" i="20" l="1"/>
  <c r="I91" i="20"/>
  <c r="G91" i="20"/>
  <c r="S173" i="19" l="1"/>
  <c r="S172" i="19" s="1"/>
  <c r="R173" i="19"/>
  <c r="S47" i="3"/>
  <c r="S42" i="3"/>
  <c r="S33" i="3"/>
  <c r="P16" i="3"/>
  <c r="R172" i="19" l="1"/>
  <c r="F45" i="3" l="1"/>
  <c r="C45" i="3"/>
  <c r="F30" i="3"/>
  <c r="C30" i="3"/>
  <c r="E37" i="2" l="1"/>
  <c r="S168" i="19"/>
  <c r="S167" i="19" s="1"/>
  <c r="S158" i="19"/>
  <c r="S144" i="19"/>
  <c r="S143" i="19" s="1"/>
  <c r="S118" i="19"/>
  <c r="S117" i="19" s="1"/>
  <c r="S104" i="19"/>
  <c r="S103" i="19" s="1"/>
  <c r="S102" i="19" s="1"/>
  <c r="S97" i="19"/>
  <c r="S96" i="19" s="1"/>
  <c r="S56" i="19"/>
  <c r="S55" i="19" s="1"/>
  <c r="S50" i="19"/>
  <c r="S49" i="19" s="1"/>
  <c r="S48" i="19" s="1"/>
  <c r="S10" i="19"/>
  <c r="S9" i="19" s="1"/>
  <c r="S8" i="19" s="1"/>
  <c r="S7" i="19" s="1"/>
  <c r="S6" i="19" s="1"/>
  <c r="R168" i="19"/>
  <c r="R167" i="19" s="1"/>
  <c r="R158" i="19"/>
  <c r="R157" i="19" s="1"/>
  <c r="R144" i="19"/>
  <c r="R143" i="19" s="1"/>
  <c r="R118" i="19"/>
  <c r="R117" i="19" s="1"/>
  <c r="R104" i="19"/>
  <c r="R97" i="19"/>
  <c r="R56" i="19"/>
  <c r="R50" i="19"/>
  <c r="R49" i="19" s="1"/>
  <c r="R48" i="19" s="1"/>
  <c r="R10" i="19"/>
  <c r="R9" i="19" s="1"/>
  <c r="G102" i="20"/>
  <c r="R103" i="19" l="1"/>
  <c r="R96" i="19"/>
  <c r="S157" i="19"/>
  <c r="R8" i="19"/>
  <c r="R7" i="19" s="1"/>
  <c r="R6" i="19" s="1"/>
  <c r="R55" i="19"/>
  <c r="S54" i="19"/>
  <c r="R116" i="19"/>
  <c r="R102" i="19" l="1"/>
  <c r="R54" i="19"/>
  <c r="S116" i="19"/>
  <c r="R47" i="19" l="1"/>
  <c r="R46" i="19" s="1"/>
  <c r="R176" i="19"/>
  <c r="S47" i="19"/>
  <c r="S46" i="19" s="1"/>
  <c r="S177" i="19" s="1"/>
  <c r="S176" i="19"/>
  <c r="H113" i="20"/>
  <c r="I113" i="20"/>
  <c r="G113" i="20"/>
  <c r="H108" i="20"/>
  <c r="I108" i="20"/>
  <c r="G108" i="20"/>
  <c r="H106" i="20"/>
  <c r="I106" i="20"/>
  <c r="G106" i="20"/>
  <c r="G105" i="20" s="1"/>
  <c r="H97" i="20"/>
  <c r="H90" i="20" s="1"/>
  <c r="I97" i="20"/>
  <c r="I90" i="20" s="1"/>
  <c r="G97" i="20"/>
  <c r="G90" i="20" s="1"/>
  <c r="J115" i="20"/>
  <c r="J116" i="20"/>
  <c r="J117" i="20"/>
  <c r="J118" i="20"/>
  <c r="J104" i="20"/>
  <c r="J103" i="20"/>
  <c r="J99" i="20"/>
  <c r="J101" i="20"/>
  <c r="J98" i="20"/>
  <c r="J93" i="20"/>
  <c r="J94" i="20"/>
  <c r="J95" i="20"/>
  <c r="J96" i="20"/>
  <c r="J89" i="20"/>
  <c r="J87" i="20"/>
  <c r="J84" i="20"/>
  <c r="H84" i="20"/>
  <c r="I84" i="20"/>
  <c r="G84" i="20"/>
  <c r="H78" i="20"/>
  <c r="I78" i="20"/>
  <c r="G78" i="20"/>
  <c r="H72" i="20"/>
  <c r="I72" i="20"/>
  <c r="G72" i="20"/>
  <c r="J69" i="20"/>
  <c r="H67" i="20"/>
  <c r="I67" i="20"/>
  <c r="G67" i="20"/>
  <c r="H58" i="20"/>
  <c r="I58" i="20"/>
  <c r="G58" i="20"/>
  <c r="H50" i="20"/>
  <c r="I50" i="20"/>
  <c r="G50" i="20"/>
  <c r="J47" i="20"/>
  <c r="H47" i="20"/>
  <c r="I47" i="20"/>
  <c r="G47" i="20"/>
  <c r="J45" i="20"/>
  <c r="H45" i="20"/>
  <c r="I45" i="20"/>
  <c r="G45" i="20"/>
  <c r="H35" i="20"/>
  <c r="I35" i="20"/>
  <c r="G35" i="20"/>
  <c r="H33" i="20"/>
  <c r="I33" i="20"/>
  <c r="G33" i="20"/>
  <c r="H28" i="20"/>
  <c r="I28" i="20"/>
  <c r="G28" i="20"/>
  <c r="J27" i="20"/>
  <c r="H26" i="20"/>
  <c r="I26" i="20"/>
  <c r="G26" i="20"/>
  <c r="H22" i="20"/>
  <c r="I22" i="20"/>
  <c r="G22" i="20"/>
  <c r="J20" i="20"/>
  <c r="H20" i="20"/>
  <c r="I20" i="20"/>
  <c r="G20" i="20"/>
  <c r="H14" i="20"/>
  <c r="I14" i="20"/>
  <c r="G14" i="20"/>
  <c r="H8" i="20"/>
  <c r="I8" i="20"/>
  <c r="G8" i="20"/>
  <c r="M87" i="20" l="1"/>
  <c r="M89" i="20"/>
  <c r="K27" i="20"/>
  <c r="K26" i="20" s="1"/>
  <c r="M27" i="20"/>
  <c r="M26" i="20" s="1"/>
  <c r="L27" i="20"/>
  <c r="L26" i="20" s="1"/>
  <c r="M96" i="20"/>
  <c r="M104" i="20"/>
  <c r="M95" i="20"/>
  <c r="M94" i="20"/>
  <c r="M117" i="20"/>
  <c r="K67" i="20"/>
  <c r="M93" i="20"/>
  <c r="M116" i="20"/>
  <c r="K97" i="20"/>
  <c r="J113" i="20"/>
  <c r="K113" i="20"/>
  <c r="I105" i="20"/>
  <c r="I71" i="20" s="1"/>
  <c r="J26" i="20"/>
  <c r="J106" i="20"/>
  <c r="H105" i="20"/>
  <c r="H71" i="20" s="1"/>
  <c r="I7" i="20"/>
  <c r="G71" i="20"/>
  <c r="H7" i="20"/>
  <c r="J91" i="20"/>
  <c r="R177" i="19"/>
  <c r="J28" i="20"/>
  <c r="G7" i="20"/>
  <c r="J22" i="20"/>
  <c r="J108" i="20"/>
  <c r="J72" i="20"/>
  <c r="J78" i="20"/>
  <c r="J97" i="20"/>
  <c r="J8" i="20"/>
  <c r="J58" i="20"/>
  <c r="J67" i="20"/>
  <c r="J50" i="20"/>
  <c r="J35" i="20"/>
  <c r="J14" i="20"/>
  <c r="E32" i="2"/>
  <c r="Q168" i="19"/>
  <c r="Q158" i="19"/>
  <c r="Q144" i="19"/>
  <c r="Q97" i="19"/>
  <c r="Q50" i="19"/>
  <c r="L97" i="20" l="1"/>
  <c r="L67" i="20"/>
  <c r="L7" i="20" s="1"/>
  <c r="L91" i="20"/>
  <c r="M91" i="20"/>
  <c r="M67" i="20"/>
  <c r="M7" i="20" s="1"/>
  <c r="M103" i="20"/>
  <c r="M115" i="20"/>
  <c r="M118" i="20"/>
  <c r="K7" i="20"/>
  <c r="K91" i="20"/>
  <c r="K90" i="20" s="1"/>
  <c r="K71" i="20" s="1"/>
  <c r="J105" i="20"/>
  <c r="J90" i="20"/>
  <c r="J71" i="20"/>
  <c r="J7" i="20"/>
  <c r="H6" i="20"/>
  <c r="H5" i="20" s="1"/>
  <c r="Q49" i="19"/>
  <c r="Q167" i="19"/>
  <c r="Q96" i="19"/>
  <c r="Q143" i="19"/>
  <c r="Q157" i="19"/>
  <c r="I6" i="20"/>
  <c r="I5" i="20" s="1"/>
  <c r="H121" i="20"/>
  <c r="G6" i="20"/>
  <c r="G5" i="20" s="1"/>
  <c r="G121" i="20"/>
  <c r="I121" i="20"/>
  <c r="P31" i="3"/>
  <c r="P29" i="3"/>
  <c r="P28" i="3"/>
  <c r="P27" i="3"/>
  <c r="P26" i="3"/>
  <c r="P25" i="3"/>
  <c r="P24" i="3"/>
  <c r="P23" i="3"/>
  <c r="P21" i="3"/>
  <c r="P20" i="3"/>
  <c r="P19" i="3"/>
  <c r="P18" i="3"/>
  <c r="P17" i="3"/>
  <c r="P22" i="3"/>
  <c r="P30" i="3"/>
  <c r="G27" i="3"/>
  <c r="J27" i="3" s="1"/>
  <c r="C27" i="3"/>
  <c r="F27" i="3"/>
  <c r="E27" i="3" s="1"/>
  <c r="M27" i="3" s="1"/>
  <c r="O27" i="3" s="1"/>
  <c r="K121" i="20" l="1"/>
  <c r="M113" i="20"/>
  <c r="L90" i="20"/>
  <c r="K6" i="20"/>
  <c r="K5" i="20" s="1"/>
  <c r="M97" i="20"/>
  <c r="M90" i="20" s="1"/>
  <c r="M71" i="20" s="1"/>
  <c r="M121" i="20" s="1"/>
  <c r="L113" i="20"/>
  <c r="J121" i="20"/>
  <c r="Q48" i="19"/>
  <c r="J6" i="20"/>
  <c r="J5" i="20" s="1"/>
  <c r="H27" i="3"/>
  <c r="K27" i="3" s="1"/>
  <c r="I27" i="3"/>
  <c r="L27" i="3"/>
  <c r="N27" i="3" s="1"/>
  <c r="Q44" i="3"/>
  <c r="R44" i="3"/>
  <c r="P45" i="3"/>
  <c r="P44" i="3"/>
  <c r="P35" i="3"/>
  <c r="P40" i="3"/>
  <c r="P39" i="3"/>
  <c r="P38" i="3"/>
  <c r="P36" i="3"/>
  <c r="P37" i="3"/>
  <c r="Q16" i="3"/>
  <c r="P56" i="19"/>
  <c r="P55" i="19" s="1"/>
  <c r="O10" i="19"/>
  <c r="O9" i="19" s="1"/>
  <c r="O8" i="19" s="1"/>
  <c r="O7" i="19" s="1"/>
  <c r="O6" i="19" s="1"/>
  <c r="P10" i="19"/>
  <c r="P9" i="19" s="1"/>
  <c r="P8" i="19" s="1"/>
  <c r="P144" i="19"/>
  <c r="P143" i="19" s="1"/>
  <c r="L71" i="20" l="1"/>
  <c r="L121" i="20" s="1"/>
  <c r="Q121" i="20" s="1"/>
  <c r="M6" i="20"/>
  <c r="M5" i="20" s="1"/>
  <c r="W27" i="3"/>
  <c r="P7" i="19"/>
  <c r="P6" i="19" s="1"/>
  <c r="P158" i="19"/>
  <c r="O158" i="19"/>
  <c r="O144" i="19"/>
  <c r="O118" i="19"/>
  <c r="O104" i="19"/>
  <c r="O97" i="19"/>
  <c r="O56" i="19"/>
  <c r="O50" i="19"/>
  <c r="L6" i="20" l="1"/>
  <c r="L5" i="20" s="1"/>
  <c r="P168" i="19"/>
  <c r="P167" i="19" s="1"/>
  <c r="O168" i="19"/>
  <c r="O167" i="19" s="1"/>
  <c r="P157" i="19"/>
  <c r="O157" i="19"/>
  <c r="O143" i="19"/>
  <c r="P118" i="19"/>
  <c r="P117" i="19" s="1"/>
  <c r="O117" i="19"/>
  <c r="P104" i="19"/>
  <c r="P103" i="19" s="1"/>
  <c r="P102" i="19" s="1"/>
  <c r="O103" i="19"/>
  <c r="P97" i="19"/>
  <c r="P96" i="19" s="1"/>
  <c r="P54" i="19" s="1"/>
  <c r="O96" i="19"/>
  <c r="O55" i="19"/>
  <c r="P50" i="19"/>
  <c r="P49" i="19" s="1"/>
  <c r="P48" i="19" s="1"/>
  <c r="O49" i="19"/>
  <c r="O48" i="19" s="1"/>
  <c r="E121" i="20"/>
  <c r="F121" i="20"/>
  <c r="D121" i="20"/>
  <c r="P116" i="19" l="1"/>
  <c r="P176" i="19" s="1"/>
  <c r="O102" i="19"/>
  <c r="O116" i="19"/>
  <c r="O54" i="19"/>
  <c r="O176" i="19" l="1"/>
  <c r="P47" i="19"/>
  <c r="P46" i="19" s="1"/>
  <c r="P177" i="19" s="1"/>
  <c r="O47" i="19"/>
  <c r="O46" i="19" l="1"/>
  <c r="O177" i="19" s="1"/>
  <c r="R45" i="3" l="1"/>
  <c r="Q45" i="3"/>
  <c r="Q40" i="3"/>
  <c r="R36" i="3" l="1"/>
  <c r="R37" i="3"/>
  <c r="R38" i="3"/>
  <c r="R39" i="3"/>
  <c r="R40" i="3"/>
  <c r="R35" i="3"/>
  <c r="R17" i="3"/>
  <c r="R18" i="3"/>
  <c r="R19" i="3"/>
  <c r="R20" i="3"/>
  <c r="R21" i="3"/>
  <c r="R22" i="3"/>
  <c r="R23" i="3"/>
  <c r="R24" i="3"/>
  <c r="R25" i="3"/>
  <c r="R26" i="3"/>
  <c r="R28" i="3"/>
  <c r="R29" i="3"/>
  <c r="R30" i="3"/>
  <c r="R31" i="3"/>
  <c r="R16" i="3"/>
  <c r="Q36" i="3"/>
  <c r="Q37" i="3"/>
  <c r="Q38" i="3"/>
  <c r="Q39" i="3"/>
  <c r="Q35" i="3"/>
  <c r="Q17" i="3"/>
  <c r="Q18" i="3"/>
  <c r="Q19" i="3"/>
  <c r="Q20" i="3"/>
  <c r="Q21" i="3"/>
  <c r="Q22" i="3"/>
  <c r="Q23" i="3"/>
  <c r="Q24" i="3"/>
  <c r="Q25" i="3"/>
  <c r="Q26" i="3"/>
  <c r="Q28" i="3"/>
  <c r="Q29" i="3"/>
  <c r="Q30" i="3"/>
  <c r="Q31" i="3"/>
  <c r="F43" i="10" l="1"/>
  <c r="J20" i="7" s="1"/>
  <c r="F151" i="10"/>
  <c r="F150" i="10" s="1"/>
  <c r="F147" i="10"/>
  <c r="F146" i="10" s="1"/>
  <c r="F135" i="10"/>
  <c r="J56" i="7" s="1"/>
  <c r="F133" i="10"/>
  <c r="F122" i="10"/>
  <c r="F120" i="10" s="1"/>
  <c r="F117" i="10"/>
  <c r="J49" i="7" s="1"/>
  <c r="F113" i="10"/>
  <c r="J48" i="7" s="1"/>
  <c r="F110" i="10"/>
  <c r="F109" i="10" s="1"/>
  <c r="F99" i="10"/>
  <c r="J36" i="7" s="1"/>
  <c r="F34" i="10"/>
  <c r="F32" i="10"/>
  <c r="F30" i="10"/>
  <c r="J15" i="7" s="1"/>
  <c r="F84" i="10" l="1"/>
  <c r="J32" i="7" s="1"/>
  <c r="F75" i="10"/>
  <c r="J30" i="7" s="1"/>
  <c r="F69" i="10"/>
  <c r="J29" i="7" s="1"/>
  <c r="F56" i="10"/>
  <c r="J24" i="7" s="1"/>
  <c r="F53" i="10"/>
  <c r="J23" i="7" s="1"/>
  <c r="F13" i="10"/>
  <c r="J11" i="7" s="1"/>
  <c r="F138" i="10" l="1"/>
  <c r="J58" i="7" s="1"/>
  <c r="F88" i="10" l="1"/>
  <c r="J33" i="7" s="1"/>
  <c r="F97" i="10"/>
  <c r="J35" i="7" s="1"/>
  <c r="F62" i="10" l="1"/>
  <c r="J27" i="7" s="1"/>
  <c r="F94" i="10"/>
  <c r="J34" i="7" s="1"/>
  <c r="F124" i="10"/>
  <c r="F112" i="10" l="1"/>
  <c r="J53" i="7"/>
  <c r="F45" i="10"/>
  <c r="J22" i="7" s="1"/>
  <c r="F141" i="10"/>
  <c r="J59" i="7" s="1"/>
  <c r="F78" i="10" l="1"/>
  <c r="J31" i="7" s="1"/>
  <c r="F59" i="10"/>
  <c r="J25" i="7" s="1"/>
  <c r="F37" i="10"/>
  <c r="F36" i="10" l="1"/>
  <c r="J19" i="7"/>
  <c r="F143" i="10"/>
  <c r="F137" i="10" l="1"/>
  <c r="J60" i="7"/>
  <c r="V33" i="3"/>
  <c r="D33" i="3" l="1"/>
  <c r="D42" i="3"/>
  <c r="C40" i="3"/>
  <c r="F40" i="3"/>
  <c r="E40" i="3" s="1"/>
  <c r="E33" i="2"/>
  <c r="G21" i="3" l="1"/>
  <c r="J21" i="3" s="1"/>
  <c r="C21" i="3"/>
  <c r="F21" i="3"/>
  <c r="H21" i="3" l="1"/>
  <c r="K21" i="3" s="1"/>
  <c r="I21" i="3"/>
  <c r="E21" i="3"/>
  <c r="E26" i="2"/>
  <c r="L21" i="3" l="1"/>
  <c r="N21" i="3" s="1"/>
  <c r="M21" i="3"/>
  <c r="O21" i="3" s="1"/>
  <c r="W21" i="3" l="1"/>
  <c r="M175" i="19"/>
  <c r="M174" i="19"/>
  <c r="M170" i="19"/>
  <c r="M171" i="19"/>
  <c r="M169" i="19"/>
  <c r="K168" i="19"/>
  <c r="K167" i="19" s="1"/>
  <c r="L168" i="19"/>
  <c r="L167" i="19" s="1"/>
  <c r="M160" i="19"/>
  <c r="M161" i="19"/>
  <c r="M162" i="19"/>
  <c r="M163" i="19"/>
  <c r="M164" i="19"/>
  <c r="M165" i="19"/>
  <c r="M159" i="19"/>
  <c r="K158" i="19"/>
  <c r="K157" i="19" s="1"/>
  <c r="L158" i="19"/>
  <c r="L157" i="19" s="1"/>
  <c r="M146" i="19"/>
  <c r="M147" i="19"/>
  <c r="M148" i="19"/>
  <c r="M149" i="19"/>
  <c r="M150" i="19"/>
  <c r="M151" i="19"/>
  <c r="M152" i="19"/>
  <c r="M153" i="19"/>
  <c r="M154" i="19"/>
  <c r="M155" i="19"/>
  <c r="M156" i="19"/>
  <c r="M145" i="19"/>
  <c r="K144" i="19"/>
  <c r="K143" i="19" s="1"/>
  <c r="L144" i="19"/>
  <c r="L143" i="19" s="1"/>
  <c r="M125" i="19"/>
  <c r="M128" i="19"/>
  <c r="M129" i="19"/>
  <c r="M130" i="19"/>
  <c r="M131" i="19"/>
  <c r="M132" i="19"/>
  <c r="M133" i="19"/>
  <c r="M134" i="19"/>
  <c r="M135" i="19"/>
  <c r="M136" i="19"/>
  <c r="M137" i="19"/>
  <c r="M138" i="19"/>
  <c r="M140" i="19"/>
  <c r="M141" i="19"/>
  <c r="M142" i="19"/>
  <c r="K118" i="19"/>
  <c r="K117" i="19" s="1"/>
  <c r="L118" i="19"/>
  <c r="L117" i="19" s="1"/>
  <c r="K104" i="19"/>
  <c r="K103" i="19" s="1"/>
  <c r="K102" i="19" s="1"/>
  <c r="L104" i="19"/>
  <c r="L103" i="19" s="1"/>
  <c r="L102" i="19" s="1"/>
  <c r="M106" i="19"/>
  <c r="M107" i="19"/>
  <c r="M108" i="19"/>
  <c r="M109" i="19"/>
  <c r="M110" i="19"/>
  <c r="M111" i="19"/>
  <c r="M112" i="19"/>
  <c r="M113" i="19"/>
  <c r="M114" i="19"/>
  <c r="M115" i="19"/>
  <c r="M105" i="19"/>
  <c r="K10" i="19"/>
  <c r="K9" i="19" s="1"/>
  <c r="K8" i="19" s="1"/>
  <c r="K7" i="19" s="1"/>
  <c r="K6" i="19" s="1"/>
  <c r="L10" i="19"/>
  <c r="L9" i="19" s="1"/>
  <c r="L8" i="19" s="1"/>
  <c r="L7" i="19" s="1"/>
  <c r="L6" i="19" s="1"/>
  <c r="K97" i="19"/>
  <c r="K96" i="19" s="1"/>
  <c r="L97" i="19"/>
  <c r="L96" i="19" s="1"/>
  <c r="M99" i="19"/>
  <c r="M100" i="19"/>
  <c r="M101" i="19"/>
  <c r="M98" i="19"/>
  <c r="M58" i="19"/>
  <c r="M64" i="19"/>
  <c r="M67" i="19"/>
  <c r="M68" i="19"/>
  <c r="M69" i="19"/>
  <c r="M70" i="19"/>
  <c r="M71" i="19"/>
  <c r="M72" i="19"/>
  <c r="M73" i="19"/>
  <c r="M74" i="19"/>
  <c r="M75" i="19"/>
  <c r="M76" i="19"/>
  <c r="M77" i="19"/>
  <c r="M78" i="19"/>
  <c r="M79" i="19"/>
  <c r="M80" i="19"/>
  <c r="M81" i="19"/>
  <c r="M82" i="19"/>
  <c r="M83" i="19"/>
  <c r="M84" i="19"/>
  <c r="M85" i="19"/>
  <c r="M86" i="19"/>
  <c r="M87" i="19"/>
  <c r="M88" i="19"/>
  <c r="M89" i="19"/>
  <c r="M90" i="19"/>
  <c r="M91" i="19"/>
  <c r="M92" i="19"/>
  <c r="M93" i="19"/>
  <c r="M95" i="19"/>
  <c r="K56" i="19"/>
  <c r="K55" i="19" s="1"/>
  <c r="L56" i="19"/>
  <c r="L55" i="19" s="1"/>
  <c r="K50" i="19"/>
  <c r="K49" i="19" s="1"/>
  <c r="K48" i="19" s="1"/>
  <c r="L50" i="19"/>
  <c r="L49" i="19" s="1"/>
  <c r="L48" i="19" s="1"/>
  <c r="M51" i="19"/>
  <c r="M52" i="19"/>
  <c r="M53" i="19"/>
  <c r="M12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K54" i="19" l="1"/>
  <c r="M97" i="19"/>
  <c r="M96" i="19" s="1"/>
  <c r="M50" i="19"/>
  <c r="M49" i="19" s="1"/>
  <c r="M48" i="19" s="1"/>
  <c r="M158" i="19"/>
  <c r="M157" i="19" s="1"/>
  <c r="M104" i="19"/>
  <c r="M103" i="19" s="1"/>
  <c r="M102" i="19" s="1"/>
  <c r="M168" i="19"/>
  <c r="M167" i="19" s="1"/>
  <c r="L116" i="19"/>
  <c r="M144" i="19"/>
  <c r="M143" i="19" s="1"/>
  <c r="K116" i="19"/>
  <c r="L54" i="19"/>
  <c r="L176" i="19" l="1"/>
  <c r="K47" i="19"/>
  <c r="K46" i="19" s="1"/>
  <c r="K177" i="19" s="1"/>
  <c r="K176" i="19"/>
  <c r="L47" i="19"/>
  <c r="L46" i="19" s="1"/>
  <c r="L177" i="19" s="1"/>
  <c r="J168" i="19" l="1"/>
  <c r="J167" i="19" s="1"/>
  <c r="J158" i="19"/>
  <c r="J157" i="19" s="1"/>
  <c r="J144" i="19"/>
  <c r="J143" i="19" s="1"/>
  <c r="J104" i="19"/>
  <c r="J103" i="19" s="1"/>
  <c r="J102" i="19" s="1"/>
  <c r="J97" i="19"/>
  <c r="J96" i="19" s="1"/>
  <c r="J50" i="19"/>
  <c r="J49" i="19" s="1"/>
  <c r="J48" i="19" s="1"/>
  <c r="D77" i="10" l="1"/>
  <c r="C77" i="10"/>
  <c r="D140" i="10" l="1"/>
  <c r="C140" i="10"/>
  <c r="E9" i="2" l="1"/>
  <c r="E10" i="2"/>
  <c r="E11" i="2"/>
  <c r="E12" i="2"/>
  <c r="E13" i="2"/>
  <c r="E14" i="2"/>
  <c r="E15" i="2"/>
  <c r="E16" i="2"/>
  <c r="E19" i="2"/>
  <c r="E22" i="2"/>
  <c r="E25" i="2"/>
  <c r="E27" i="2"/>
  <c r="E28" i="2"/>
  <c r="E29" i="2"/>
  <c r="E35" i="2"/>
  <c r="E36" i="2"/>
  <c r="E38" i="2"/>
  <c r="E40" i="2"/>
  <c r="E7" i="2"/>
  <c r="F44" i="3" l="1"/>
  <c r="C44" i="3"/>
  <c r="H44" i="3" l="1"/>
  <c r="I44" i="3"/>
  <c r="D13" i="8"/>
  <c r="B13" i="8"/>
  <c r="D12" i="8"/>
  <c r="B12" i="8"/>
  <c r="D11" i="8"/>
  <c r="B11" i="8"/>
  <c r="D10" i="8"/>
  <c r="B10" i="8"/>
  <c r="D9" i="8"/>
  <c r="B9" i="8"/>
  <c r="J42" i="7" l="1"/>
  <c r="F22" i="3" l="1"/>
  <c r="C22" i="3"/>
  <c r="H22" i="3" l="1"/>
  <c r="E19" i="3" l="1"/>
  <c r="I18" i="3"/>
  <c r="H18" i="3" l="1"/>
  <c r="H35" i="3"/>
  <c r="H19" i="3"/>
  <c r="V42" i="3" l="1"/>
  <c r="C23" i="3"/>
  <c r="G23" i="3" l="1"/>
  <c r="J23" i="3" s="1"/>
  <c r="F23" i="3"/>
  <c r="E23" i="3" l="1"/>
  <c r="L23" i="3" s="1"/>
  <c r="N23" i="3" s="1"/>
  <c r="H23" i="3"/>
  <c r="K23" i="3" s="1"/>
  <c r="I23" i="3"/>
  <c r="G19" i="3"/>
  <c r="J19" i="3" s="1"/>
  <c r="G35" i="3"/>
  <c r="G17" i="3"/>
  <c r="J17" i="3" s="1"/>
  <c r="F39" i="3"/>
  <c r="F38" i="3"/>
  <c r="F37" i="3"/>
  <c r="F36" i="3"/>
  <c r="F29" i="3"/>
  <c r="F25" i="3"/>
  <c r="F24" i="3"/>
  <c r="F20" i="3"/>
  <c r="I20" i="3" s="1"/>
  <c r="I19" i="3"/>
  <c r="F17" i="3"/>
  <c r="I17" i="3" s="1"/>
  <c r="F16" i="3"/>
  <c r="I16" i="3" l="1"/>
  <c r="H16" i="3"/>
  <c r="K16" i="3" s="1"/>
  <c r="M23" i="3"/>
  <c r="O23" i="3" s="1"/>
  <c r="W23" i="3" s="1"/>
  <c r="H25" i="3"/>
  <c r="H45" i="3"/>
  <c r="H47" i="3" s="1"/>
  <c r="H29" i="3"/>
  <c r="H36" i="3"/>
  <c r="H37" i="3"/>
  <c r="H20" i="3"/>
  <c r="H38" i="3"/>
  <c r="H30" i="3"/>
  <c r="H24" i="3"/>
  <c r="H39" i="3"/>
  <c r="H17" i="3"/>
  <c r="K17" i="3" s="1"/>
  <c r="H40" i="3"/>
  <c r="I35" i="3"/>
  <c r="F42" i="3"/>
  <c r="J35" i="3"/>
  <c r="E35" i="3"/>
  <c r="M35" i="3" s="1"/>
  <c r="M19" i="3"/>
  <c r="O19" i="3" s="1"/>
  <c r="E17" i="3"/>
  <c r="K19" i="3"/>
  <c r="C39" i="3"/>
  <c r="C38" i="3"/>
  <c r="C37" i="3"/>
  <c r="C36" i="3"/>
  <c r="C31" i="3"/>
  <c r="C29" i="3"/>
  <c r="C28" i="3"/>
  <c r="C25" i="3"/>
  <c r="C24" i="3"/>
  <c r="C20" i="3"/>
  <c r="C17" i="3"/>
  <c r="C16" i="3"/>
  <c r="M16" i="3" l="1"/>
  <c r="O16" i="3" s="1"/>
  <c r="L16" i="3"/>
  <c r="N16" i="3" s="1"/>
  <c r="K35" i="3"/>
  <c r="O35" i="3"/>
  <c r="L19" i="3"/>
  <c r="N19" i="3" s="1"/>
  <c r="W19" i="3" s="1"/>
  <c r="L35" i="3"/>
  <c r="M17" i="3"/>
  <c r="O17" i="3" s="1"/>
  <c r="L17" i="3"/>
  <c r="N17" i="3" s="1"/>
  <c r="W17" i="3" l="1"/>
  <c r="N35" i="3"/>
  <c r="W35" i="3" s="1"/>
  <c r="J82" i="7" l="1"/>
  <c r="J51" i="7" l="1"/>
  <c r="J69" i="7" l="1"/>
  <c r="G16" i="3" l="1"/>
  <c r="J16" i="3" s="1"/>
  <c r="W16" i="3" s="1"/>
  <c r="L82" i="7" l="1"/>
  <c r="L72" i="7"/>
  <c r="L68" i="7"/>
  <c r="L67" i="7"/>
  <c r="L66" i="7"/>
  <c r="L65" i="7"/>
  <c r="L64" i="7"/>
  <c r="L63" i="7"/>
  <c r="L61" i="7"/>
  <c r="L54" i="7"/>
  <c r="L50" i="7"/>
  <c r="L40" i="7"/>
  <c r="L26" i="7"/>
  <c r="L21" i="7"/>
  <c r="L81" i="7"/>
  <c r="L80" i="7"/>
  <c r="L79" i="7"/>
  <c r="L78" i="7"/>
  <c r="L77" i="7"/>
  <c r="L76" i="7"/>
  <c r="L71" i="7"/>
  <c r="K69" i="7"/>
  <c r="K59" i="7"/>
  <c r="K56" i="7"/>
  <c r="K53" i="7"/>
  <c r="K49" i="7"/>
  <c r="K48" i="7"/>
  <c r="L45" i="7"/>
  <c r="L44" i="7"/>
  <c r="K42" i="7"/>
  <c r="K37" i="7"/>
  <c r="K36" i="7"/>
  <c r="K35" i="7"/>
  <c r="K34" i="7"/>
  <c r="K33" i="7"/>
  <c r="K32" i="7"/>
  <c r="K31" i="7"/>
  <c r="K30" i="7"/>
  <c r="K29" i="7"/>
  <c r="K27" i="7"/>
  <c r="K25" i="7"/>
  <c r="K24" i="7"/>
  <c r="K23" i="7"/>
  <c r="K22" i="7"/>
  <c r="K20" i="7"/>
  <c r="K19" i="7"/>
  <c r="K17" i="7"/>
  <c r="K15" i="7"/>
  <c r="K14" i="7"/>
  <c r="K13" i="7"/>
  <c r="K12" i="7"/>
  <c r="K11" i="7"/>
  <c r="K10" i="7"/>
  <c r="K7" i="7" s="1"/>
  <c r="L7" i="7" s="1"/>
  <c r="J75" i="7" l="1"/>
  <c r="J74" i="7" l="1"/>
  <c r="L74" i="7" s="1"/>
  <c r="L75" i="7"/>
  <c r="L49" i="7" l="1"/>
  <c r="L36" i="7"/>
  <c r="L35" i="7"/>
  <c r="L34" i="7"/>
  <c r="L30" i="7"/>
  <c r="L25" i="7"/>
  <c r="L23" i="7"/>
  <c r="L56" i="7"/>
  <c r="L55" i="7"/>
  <c r="L52" i="7"/>
  <c r="L51" i="7"/>
  <c r="L43" i="7"/>
  <c r="L42" i="7"/>
  <c r="L41" i="7"/>
  <c r="L20" i="7"/>
  <c r="L60" i="7" l="1"/>
  <c r="L59" i="7"/>
  <c r="L39" i="7"/>
  <c r="J38" i="7"/>
  <c r="L38" i="7" s="1"/>
  <c r="L48" i="7"/>
  <c r="L32" i="7"/>
  <c r="L27" i="7"/>
  <c r="L24" i="7"/>
  <c r="J62" i="7" l="1"/>
  <c r="L62" i="7" s="1"/>
  <c r="L69" i="7"/>
  <c r="L73" i="7" l="1"/>
  <c r="J70" i="7"/>
  <c r="L70" i="7" s="1"/>
  <c r="I29" i="3" l="1"/>
  <c r="L33" i="7"/>
  <c r="V47" i="3"/>
  <c r="V49" i="3" s="1"/>
  <c r="D47" i="3"/>
  <c r="D49" i="3" s="1"/>
  <c r="G45" i="3"/>
  <c r="J45" i="3" s="1"/>
  <c r="G44" i="3"/>
  <c r="J44" i="3" s="1"/>
  <c r="G40" i="3"/>
  <c r="J40" i="3" s="1"/>
  <c r="G39" i="3"/>
  <c r="J39" i="3" s="1"/>
  <c r="G38" i="3"/>
  <c r="J38" i="3" s="1"/>
  <c r="G37" i="3"/>
  <c r="J37" i="3" s="1"/>
  <c r="G36" i="3"/>
  <c r="G31" i="3"/>
  <c r="J31" i="3" s="1"/>
  <c r="G30" i="3"/>
  <c r="J30" i="3" s="1"/>
  <c r="G29" i="3"/>
  <c r="J29" i="3" s="1"/>
  <c r="G28" i="3"/>
  <c r="J28" i="3" s="1"/>
  <c r="G26" i="3"/>
  <c r="J26" i="3" s="1"/>
  <c r="G25" i="3"/>
  <c r="J25" i="3" s="1"/>
  <c r="G24" i="3"/>
  <c r="J24" i="3" s="1"/>
  <c r="G22" i="3"/>
  <c r="J22" i="3" s="1"/>
  <c r="G20" i="3"/>
  <c r="J20" i="3" s="1"/>
  <c r="G18" i="3"/>
  <c r="J18" i="3" s="1"/>
  <c r="F28" i="3"/>
  <c r="I26" i="3"/>
  <c r="I28" i="3" l="1"/>
  <c r="H28" i="3"/>
  <c r="K28" i="3" s="1"/>
  <c r="K26" i="3"/>
  <c r="G42" i="3"/>
  <c r="U42" i="3"/>
  <c r="R42" i="3"/>
  <c r="P42" i="3"/>
  <c r="K36" i="3"/>
  <c r="K40" i="3"/>
  <c r="I40" i="3"/>
  <c r="E29" i="3"/>
  <c r="K29" i="3"/>
  <c r="E26" i="3"/>
  <c r="K20" i="3"/>
  <c r="E20" i="3"/>
  <c r="M20" i="3" s="1"/>
  <c r="E28" i="3"/>
  <c r="P47" i="3"/>
  <c r="R47" i="3"/>
  <c r="U47" i="3"/>
  <c r="I25" i="3"/>
  <c r="I30" i="3"/>
  <c r="I24" i="3"/>
  <c r="J36" i="3"/>
  <c r="J47" i="3"/>
  <c r="I22" i="3"/>
  <c r="F31" i="3"/>
  <c r="E31" i="3" s="1"/>
  <c r="F47" i="3"/>
  <c r="J33" i="3"/>
  <c r="G33" i="3"/>
  <c r="C13" i="3"/>
  <c r="P33" i="3"/>
  <c r="Q33" i="3"/>
  <c r="G47" i="3"/>
  <c r="R33" i="3"/>
  <c r="U33" i="3"/>
  <c r="T33" i="3"/>
  <c r="I36" i="3"/>
  <c r="E36" i="3"/>
  <c r="J65" i="19" l="1"/>
  <c r="M65" i="19" s="1"/>
  <c r="G49" i="3"/>
  <c r="J18" i="19"/>
  <c r="M18" i="19" s="1"/>
  <c r="P49" i="3"/>
  <c r="J16" i="19"/>
  <c r="M16" i="19" s="1"/>
  <c r="R49" i="3"/>
  <c r="J123" i="19"/>
  <c r="M123" i="19" s="1"/>
  <c r="J62" i="19"/>
  <c r="M62" i="19" s="1"/>
  <c r="U49" i="3"/>
  <c r="J63" i="19"/>
  <c r="M63" i="19" s="1"/>
  <c r="J122" i="19"/>
  <c r="M122" i="19" s="1"/>
  <c r="J61" i="19"/>
  <c r="M61" i="19" s="1"/>
  <c r="S49" i="3"/>
  <c r="I31" i="3"/>
  <c r="H31" i="3"/>
  <c r="K31" i="3" s="1"/>
  <c r="J42" i="3"/>
  <c r="K44" i="3"/>
  <c r="K30" i="3"/>
  <c r="E30" i="3"/>
  <c r="M28" i="3"/>
  <c r="O28" i="3" s="1"/>
  <c r="L28" i="3"/>
  <c r="N28" i="3" s="1"/>
  <c r="M40" i="3"/>
  <c r="O40" i="3" s="1"/>
  <c r="L40" i="3"/>
  <c r="N40" i="3" s="1"/>
  <c r="K39" i="3"/>
  <c r="I39" i="3"/>
  <c r="L26" i="3"/>
  <c r="N26" i="3" s="1"/>
  <c r="M26" i="3"/>
  <c r="O26" i="3" s="1"/>
  <c r="O20" i="3"/>
  <c r="L20" i="3"/>
  <c r="N20" i="3" s="1"/>
  <c r="E38" i="3"/>
  <c r="I38" i="3"/>
  <c r="L29" i="3"/>
  <c r="N29" i="3" s="1"/>
  <c r="M29" i="3"/>
  <c r="O29" i="3" s="1"/>
  <c r="I37" i="3"/>
  <c r="E18" i="3"/>
  <c r="M36" i="3"/>
  <c r="L36" i="3"/>
  <c r="E39" i="3"/>
  <c r="E37" i="3"/>
  <c r="F33" i="3"/>
  <c r="F49" i="3" s="1"/>
  <c r="E45" i="3"/>
  <c r="I45" i="3"/>
  <c r="K45" i="3"/>
  <c r="E22" i="3"/>
  <c r="K22" i="3"/>
  <c r="E44" i="3"/>
  <c r="K18" i="3"/>
  <c r="E24" i="3"/>
  <c r="K24" i="3"/>
  <c r="K25" i="3"/>
  <c r="E25" i="3"/>
  <c r="J47" i="7"/>
  <c r="L53" i="7"/>
  <c r="W20" i="3" l="1"/>
  <c r="W28" i="3"/>
  <c r="J49" i="3"/>
  <c r="J126" i="19"/>
  <c r="M126" i="19" s="1"/>
  <c r="W26" i="3"/>
  <c r="W40" i="3"/>
  <c r="I33" i="3"/>
  <c r="T57" i="19" s="1"/>
  <c r="I42" i="3"/>
  <c r="T119" i="19" s="1"/>
  <c r="K37" i="3"/>
  <c r="H42" i="3"/>
  <c r="L18" i="3"/>
  <c r="N18" i="3" s="1"/>
  <c r="M18" i="3"/>
  <c r="O18" i="3" s="1"/>
  <c r="M44" i="3"/>
  <c r="L44" i="3"/>
  <c r="L31" i="3"/>
  <c r="N31" i="3" s="1"/>
  <c r="M31" i="3"/>
  <c r="O31" i="3" s="1"/>
  <c r="L30" i="3"/>
  <c r="N30" i="3" s="1"/>
  <c r="M30" i="3"/>
  <c r="O30" i="3" s="1"/>
  <c r="M45" i="3"/>
  <c r="O45" i="3" s="1"/>
  <c r="L45" i="3"/>
  <c r="I47" i="3"/>
  <c r="T11" i="19" s="1"/>
  <c r="L39" i="3"/>
  <c r="N39" i="3" s="1"/>
  <c r="M39" i="3"/>
  <c r="O39" i="3" s="1"/>
  <c r="L22" i="3"/>
  <c r="N22" i="3" s="1"/>
  <c r="M22" i="3"/>
  <c r="O22" i="3" s="1"/>
  <c r="M24" i="3"/>
  <c r="O24" i="3" s="1"/>
  <c r="L24" i="3"/>
  <c r="N24" i="3" s="1"/>
  <c r="H33" i="3"/>
  <c r="L25" i="3"/>
  <c r="N25" i="3" s="1"/>
  <c r="M25" i="3"/>
  <c r="O25" i="3" s="1"/>
  <c r="K47" i="3"/>
  <c r="T19" i="19" s="1"/>
  <c r="K38" i="3"/>
  <c r="M38" i="3"/>
  <c r="O38" i="3" s="1"/>
  <c r="L38" i="3"/>
  <c r="N38" i="3" s="1"/>
  <c r="L37" i="3"/>
  <c r="N37" i="3" s="1"/>
  <c r="M37" i="3"/>
  <c r="O37" i="3" s="1"/>
  <c r="K33" i="3"/>
  <c r="T66" i="19" s="1"/>
  <c r="L47" i="7"/>
  <c r="N36" i="3"/>
  <c r="O36" i="3"/>
  <c r="W24" i="3" l="1"/>
  <c r="W31" i="3"/>
  <c r="W22" i="3"/>
  <c r="W39" i="3"/>
  <c r="W37" i="3"/>
  <c r="W38" i="3"/>
  <c r="J119" i="19"/>
  <c r="M119" i="19" s="1"/>
  <c r="J19" i="19"/>
  <c r="M19" i="19" s="1"/>
  <c r="J57" i="19"/>
  <c r="M57" i="19" s="1"/>
  <c r="J66" i="19"/>
  <c r="M66" i="19" s="1"/>
  <c r="J11" i="19"/>
  <c r="M11" i="19" s="1"/>
  <c r="I49" i="3"/>
  <c r="W18" i="3"/>
  <c r="H49" i="3"/>
  <c r="W30" i="3"/>
  <c r="W25" i="3"/>
  <c r="W36" i="3"/>
  <c r="J16" i="7"/>
  <c r="L16" i="7" s="1"/>
  <c r="O42" i="3"/>
  <c r="T121" i="19" s="1"/>
  <c r="M42" i="3"/>
  <c r="N42" i="3"/>
  <c r="T120" i="19" s="1"/>
  <c r="K42" i="3"/>
  <c r="T127" i="19" s="1"/>
  <c r="L42" i="3"/>
  <c r="N45" i="3"/>
  <c r="W45" i="3" s="1"/>
  <c r="L33" i="3"/>
  <c r="O33" i="3"/>
  <c r="T60" i="19" s="1"/>
  <c r="M33" i="3"/>
  <c r="L19" i="7"/>
  <c r="O44" i="3"/>
  <c r="O47" i="3" s="1"/>
  <c r="T14" i="19" s="1"/>
  <c r="M47" i="3"/>
  <c r="N44" i="3"/>
  <c r="L47" i="3"/>
  <c r="N33" i="3"/>
  <c r="T59" i="19" s="1"/>
  <c r="T118" i="19" l="1"/>
  <c r="T117" i="19" s="1"/>
  <c r="T116" i="19" s="1"/>
  <c r="T56" i="19"/>
  <c r="T55" i="19" s="1"/>
  <c r="T54" i="19" s="1"/>
  <c r="F25" i="10"/>
  <c r="J14" i="7" s="1"/>
  <c r="Q118" i="19"/>
  <c r="K49" i="3"/>
  <c r="M49" i="3"/>
  <c r="J14" i="19"/>
  <c r="M14" i="19" s="1"/>
  <c r="O49" i="3"/>
  <c r="J121" i="19"/>
  <c r="M121" i="19" s="1"/>
  <c r="F11" i="10"/>
  <c r="J10" i="7" s="1"/>
  <c r="J127" i="19"/>
  <c r="M127" i="19" s="1"/>
  <c r="J60" i="19"/>
  <c r="M60" i="19" s="1"/>
  <c r="J120" i="19"/>
  <c r="M120" i="19" s="1"/>
  <c r="J59" i="19"/>
  <c r="M59" i="19" s="1"/>
  <c r="L49" i="3"/>
  <c r="W44" i="3"/>
  <c r="W47" i="3" s="1"/>
  <c r="W33" i="3"/>
  <c r="W42" i="3"/>
  <c r="L58" i="7"/>
  <c r="J57" i="7"/>
  <c r="L31" i="7"/>
  <c r="N47" i="3"/>
  <c r="T13" i="19" l="1"/>
  <c r="Q117" i="19"/>
  <c r="Q10" i="19"/>
  <c r="Q9" i="19" s="1"/>
  <c r="Q56" i="19"/>
  <c r="W49" i="3"/>
  <c r="T113" i="19" s="1"/>
  <c r="M56" i="19"/>
  <c r="M55" i="19" s="1"/>
  <c r="M54" i="19" s="1"/>
  <c r="J56" i="19"/>
  <c r="J55" i="19" s="1"/>
  <c r="J54" i="19" s="1"/>
  <c r="J13" i="19"/>
  <c r="M13" i="19" s="1"/>
  <c r="N49" i="3"/>
  <c r="L14" i="7"/>
  <c r="L15" i="7"/>
  <c r="L10" i="7"/>
  <c r="L57" i="7"/>
  <c r="J46" i="7"/>
  <c r="L46" i="7" s="1"/>
  <c r="T10" i="19" l="1"/>
  <c r="T9" i="19" s="1"/>
  <c r="T8" i="19" s="1"/>
  <c r="F17" i="10"/>
  <c r="J12" i="7" s="1"/>
  <c r="T104" i="19"/>
  <c r="T103" i="19" s="1"/>
  <c r="T102" i="19" s="1"/>
  <c r="T7" i="19"/>
  <c r="T6" i="19" s="1"/>
  <c r="T47" i="19"/>
  <c r="T46" i="19" s="1"/>
  <c r="T177" i="19" s="1"/>
  <c r="Q8" i="19"/>
  <c r="Q7" i="19" s="1"/>
  <c r="Q6" i="19" s="1"/>
  <c r="Q55" i="19"/>
  <c r="Q116" i="19"/>
  <c r="Q104" i="19"/>
  <c r="J15" i="19"/>
  <c r="T176" i="19" l="1"/>
  <c r="Q103" i="19"/>
  <c r="Q54" i="19"/>
  <c r="M15" i="19"/>
  <c r="J17" i="7"/>
  <c r="Q102" i="19" l="1"/>
  <c r="F102" i="10"/>
  <c r="L17" i="7"/>
  <c r="L22" i="7"/>
  <c r="J18" i="7"/>
  <c r="L18" i="7" s="1"/>
  <c r="Q47" i="19" l="1"/>
  <c r="Q176" i="19"/>
  <c r="F68" i="10"/>
  <c r="J37" i="7"/>
  <c r="L11" i="7"/>
  <c r="Q46" i="19" l="1"/>
  <c r="L37" i="7"/>
  <c r="L12" i="7"/>
  <c r="Q177" i="19" l="1"/>
  <c r="L29" i="7"/>
  <c r="J28" i="7"/>
  <c r="L28" i="7" l="1"/>
  <c r="Q42" i="3" l="1"/>
  <c r="T42" i="3"/>
  <c r="J124" i="19" l="1"/>
  <c r="J118" i="19" l="1"/>
  <c r="J117" i="19" s="1"/>
  <c r="J116" i="19" s="1"/>
  <c r="M124" i="19"/>
  <c r="M118" i="19" s="1"/>
  <c r="M117" i="19" s="1"/>
  <c r="M116" i="19" s="1"/>
  <c r="M47" i="19" l="1"/>
  <c r="M46" i="19" s="1"/>
  <c r="J47" i="19"/>
  <c r="J46" i="19" s="1"/>
  <c r="Q47" i="3"/>
  <c r="Q49" i="3" s="1"/>
  <c r="T47" i="3"/>
  <c r="J17" i="19" l="1"/>
  <c r="M17" i="19" s="1"/>
  <c r="M10" i="19" s="1"/>
  <c r="M9" i="19" s="1"/>
  <c r="M8" i="19" s="1"/>
  <c r="M176" i="19" s="1"/>
  <c r="T49" i="3"/>
  <c r="J10" i="19" l="1"/>
  <c r="J9" i="19" s="1"/>
  <c r="J8" i="19" s="1"/>
  <c r="J176" i="19" s="1"/>
  <c r="F21" i="10"/>
  <c r="J13" i="7" s="1"/>
  <c r="M7" i="19"/>
  <c r="M6" i="19" s="1"/>
  <c r="M177" i="19" s="1"/>
  <c r="J7" i="19" l="1"/>
  <c r="J6" i="19" s="1"/>
  <c r="J177" i="19" s="1"/>
  <c r="K8" i="8"/>
  <c r="K7" i="8" s="1"/>
  <c r="F10" i="10"/>
  <c r="F9" i="10" s="1"/>
  <c r="P179" i="19"/>
  <c r="J9" i="7" l="1"/>
  <c r="J8" i="7" s="1"/>
  <c r="J7" i="7" s="1"/>
  <c r="L13" i="7"/>
</calcChain>
</file>

<file path=xl/sharedStrings.xml><?xml version="1.0" encoding="utf-8"?>
<sst xmlns="http://schemas.openxmlformats.org/spreadsheetml/2006/main" count="1051" uniqueCount="578">
  <si>
    <t>SISTEMA MUNICIPAL DE AGUA POTABLE Y ALCANTARILLADO</t>
  </si>
  <si>
    <t>Analítico de plazas</t>
  </si>
  <si>
    <t>SUELDO</t>
  </si>
  <si>
    <t>PREV SOCIAL</t>
  </si>
  <si>
    <t>NIVEL 1</t>
  </si>
  <si>
    <t>NIVEL 2</t>
  </si>
  <si>
    <t>JEFE DE FONTANEROS</t>
  </si>
  <si>
    <t>NIVEL 4</t>
  </si>
  <si>
    <t>NIVEL 5</t>
  </si>
  <si>
    <t>NIVEL 6</t>
  </si>
  <si>
    <t>NIVEL 7</t>
  </si>
  <si>
    <t>NIVEL 8</t>
  </si>
  <si>
    <t>NIVEL 9</t>
  </si>
  <si>
    <t>CAJERA</t>
  </si>
  <si>
    <t>NIVEL 10</t>
  </si>
  <si>
    <t>LECTURISTA</t>
  </si>
  <si>
    <t>NIVEL 11</t>
  </si>
  <si>
    <t>CAPTURISTA DE LECTURAS</t>
  </si>
  <si>
    <t>MUNICIPIO MANUEL DOBLADO</t>
  </si>
  <si>
    <t>CATEGORÍA</t>
  </si>
  <si>
    <t>UNIDAD</t>
  </si>
  <si>
    <t>PUESTO</t>
  </si>
  <si>
    <t>PLAZAS</t>
  </si>
  <si>
    <t>SUELDO DIARIO</t>
  </si>
  <si>
    <t>MENSUAL</t>
  </si>
  <si>
    <t>ANUAL GLOBAL</t>
  </si>
  <si>
    <t>INDIVIDUAL ANUAL</t>
  </si>
  <si>
    <t>GLOBAL ANUAL</t>
  </si>
  <si>
    <t>BIMESTRAL</t>
  </si>
  <si>
    <t xml:space="preserve">SUELDO </t>
  </si>
  <si>
    <t>PREST. CONTRAC</t>
  </si>
  <si>
    <t>PREVISIÓN SOCIAL</t>
  </si>
  <si>
    <t>PRIMA VACACIONAL</t>
  </si>
  <si>
    <t>GRATIFICACIÓN DE FIN DE AÑO</t>
  </si>
  <si>
    <t>IMSS</t>
  </si>
  <si>
    <t>R C V</t>
  </si>
  <si>
    <t>INFONAVIT</t>
  </si>
  <si>
    <t>RCV</t>
  </si>
  <si>
    <t>FAR</t>
  </si>
  <si>
    <t>TOTAL PLAZAS PRESUPUESTADAS</t>
  </si>
  <si>
    <t>CONFIANZA</t>
  </si>
  <si>
    <t>JEFE DE OFICINA</t>
  </si>
  <si>
    <t>BASE</t>
  </si>
  <si>
    <t>SUMA</t>
  </si>
  <si>
    <t>PLANTA DE TRATAMIENTO</t>
  </si>
  <si>
    <t>TOTAL</t>
  </si>
  <si>
    <t>Consejo Directivo del Sistema Municipal de Agua Potable y Alcantarillado de Cd. Manuel Doblado, Gto.</t>
  </si>
  <si>
    <t>Importe</t>
  </si>
  <si>
    <t>Total</t>
  </si>
  <si>
    <t>$</t>
  </si>
  <si>
    <t>SERVICIOS PERSONALES</t>
  </si>
  <si>
    <t>Remuneraciones al personal de carácter permanente</t>
  </si>
  <si>
    <t>Sueldo base al personal permanente</t>
  </si>
  <si>
    <t>Remuneraciones al personal de carácter transitorio</t>
  </si>
  <si>
    <t>Sueldos base al personal eventual</t>
  </si>
  <si>
    <t>Retribuciones por servicios de carácter social</t>
  </si>
  <si>
    <t>Remuneraciones Adicionales y Especiales</t>
  </si>
  <si>
    <t>Prima Vacacional</t>
  </si>
  <si>
    <t>Gratificación de fin de año</t>
  </si>
  <si>
    <t>Seguridad Social</t>
  </si>
  <si>
    <t>Aportaciones de seguridad social</t>
  </si>
  <si>
    <t>Aportaciones a fondos de vivienda (Aportación INFONAVIT)</t>
  </si>
  <si>
    <t>Aportaciones al sistema para el retiro (Ahorro para el retiro)</t>
  </si>
  <si>
    <t>Otras Prestaciones Sociales y Económicas</t>
  </si>
  <si>
    <t>Prestaciones contractuales</t>
  </si>
  <si>
    <t>Previsiones</t>
  </si>
  <si>
    <t>Previsión social</t>
  </si>
  <si>
    <t>MATERIALES Y SUMINISTROS</t>
  </si>
  <si>
    <t>Materiales de administración, emisión de documentos y artículos oficiales</t>
  </si>
  <si>
    <t>Materiales y útiles de oficina</t>
  </si>
  <si>
    <t>Materiales, útiles y equipo menores de tecnologías de la información y comunicación</t>
  </si>
  <si>
    <t>Material impreso e información digital</t>
  </si>
  <si>
    <t>Material de limpieza</t>
  </si>
  <si>
    <t>Material y útiles de enseñanza</t>
  </si>
  <si>
    <t>Alimentos y utensilios</t>
  </si>
  <si>
    <t>Productos alimenticios para personas</t>
  </si>
  <si>
    <t>Materiales y Árticulos de construcción y de reparación</t>
  </si>
  <si>
    <t>Productos minerales no metálicos</t>
  </si>
  <si>
    <t>Material eléctrico y electrónico</t>
  </si>
  <si>
    <t>Materiales diversos</t>
  </si>
  <si>
    <t>Material Hidráulico</t>
  </si>
  <si>
    <t>Material Sanitario</t>
  </si>
  <si>
    <t>Productos Químicos, Farmaceuticos y de Laboratorio</t>
  </si>
  <si>
    <t>Medicinas y productos farmaceuticos</t>
  </si>
  <si>
    <t>Productos químicos básicos inorgánicos</t>
  </si>
  <si>
    <t>Combustibles, Lubricantes y Aditivos</t>
  </si>
  <si>
    <t>Vestuario, Blancos, Prendas de Protección y Artículos Deportivos</t>
  </si>
  <si>
    <t>Vestuarios y uniformes</t>
  </si>
  <si>
    <t>Prendas de seguridad y protección personal</t>
  </si>
  <si>
    <t>Herramientas, Refacciones y Accesorios Menores</t>
  </si>
  <si>
    <t>Herramientas menores</t>
  </si>
  <si>
    <t>Refacciones y accesorios menores de edificios</t>
  </si>
  <si>
    <t>Refacciones y accesorios menores de mobiliario y equipo de administración, 
educacional y recreativo</t>
  </si>
  <si>
    <t>Refacciones y accesorios menores de equipo de cómputo y tecnologías de la
información</t>
  </si>
  <si>
    <t>SERVICIOS GENERALES</t>
  </si>
  <si>
    <t>Servicios Básicos</t>
  </si>
  <si>
    <t>Energía electrica</t>
  </si>
  <si>
    <t>Telefonía tradicional</t>
  </si>
  <si>
    <t>Servicios de acceso de internet, redes y procesamiento de información</t>
  </si>
  <si>
    <t>Servicios de Arrendamiento</t>
  </si>
  <si>
    <t>Arrendamiento de maquinaria, otros equipos y herramientas</t>
  </si>
  <si>
    <t>Servicios, Profesionales, Cientificos, Técnicos y Otros Servicios</t>
  </si>
  <si>
    <t>Servicios legales, de contabilidad, auditoría y relacionados</t>
  </si>
  <si>
    <t>Servicios de diseño, arquitectura, ingeniería y actividades relacionadas</t>
  </si>
  <si>
    <t>Servicios de  consultoria administrativa, procesos, técnicas y en tecnologías de 
la información</t>
  </si>
  <si>
    <t>Servicios de capacitación</t>
  </si>
  <si>
    <t>Servicios profesionales, cientificos y técnicos integrales</t>
  </si>
  <si>
    <t>Servicios Financieros, Bancarios y Comerciales</t>
  </si>
  <si>
    <t>Servicios financieros y bancarios</t>
  </si>
  <si>
    <t>Seguros de bienes patrimoniales</t>
  </si>
  <si>
    <t>Fletes y miniobras</t>
  </si>
  <si>
    <t>Servicios de Instalación, Reparación, Mantenimiento y Conservación</t>
  </si>
  <si>
    <t>Conservación y mantenimiento menor de inmuiebles</t>
  </si>
  <si>
    <t>Instalación, reparación y mantenimiento de maquinaria, otros equipos y herramientas</t>
  </si>
  <si>
    <t>Servicios de Comunicación Social y Publicidad</t>
  </si>
  <si>
    <t>Difusión por radio, televisión y otros medios de mensajes sobre programas y actividades
gubernamentales</t>
  </si>
  <si>
    <t>Servicios de Translado y Viáticos</t>
  </si>
  <si>
    <t>Viáticos en el pais</t>
  </si>
  <si>
    <t>Servicios Oficiales</t>
  </si>
  <si>
    <t>Gastos de representación</t>
  </si>
  <si>
    <t>Otros Servicios Generales</t>
  </si>
  <si>
    <t>Impuestos y derechos</t>
  </si>
  <si>
    <t>Derechos por extracción del agua</t>
  </si>
  <si>
    <t>Impuestos y derechos por descargas a bienes nacionales</t>
  </si>
  <si>
    <t>Penas, multas, accesorios y actualizaciones</t>
  </si>
  <si>
    <t>Otros servicios generales</t>
  </si>
  <si>
    <t>TRANSFERENCIAS, ASIGNACIONES, SUBSIDIOS Y OTRAS AYUDAS</t>
  </si>
  <si>
    <t>BIENES MUEBLES, INMUEBLES E INTANGIBLES</t>
  </si>
  <si>
    <t>Mobiliario y Equipo de Administración</t>
  </si>
  <si>
    <t>Muebles de oficina y estantería</t>
  </si>
  <si>
    <t>Equipo de cómputo y de tecnologías de la información</t>
  </si>
  <si>
    <t>Mobiliario y Equipo Educacional y Recreativo</t>
  </si>
  <si>
    <t>Cámaras fotográficas y de video</t>
  </si>
  <si>
    <t>Maquinaria, Otros Equipos y Herramientas</t>
  </si>
  <si>
    <t>Equipo de generación eléctrica, aparatos y accesorios eléctricos</t>
  </si>
  <si>
    <t>Otros equipos</t>
  </si>
  <si>
    <t>Macromedidores</t>
  </si>
  <si>
    <t>INVERSION PÚBLICA</t>
  </si>
  <si>
    <t>Obra Pública en Bienes de Domino Publico</t>
  </si>
  <si>
    <t>Obra Pública en Bienes Propios</t>
  </si>
  <si>
    <t>Edificación no habitacional</t>
  </si>
  <si>
    <t>INVERSIONES FINANCIERAS Y OTRAS PROVISIONES</t>
  </si>
  <si>
    <t>Proviciones para Contingencias y Otras Erogaciones Especiales</t>
  </si>
  <si>
    <t>Otras erogaciones especiales</t>
  </si>
  <si>
    <t>PARTICIPACIONES Y APORTACIONES</t>
  </si>
  <si>
    <t>DEUDA PÚBLICA</t>
  </si>
  <si>
    <t>Adeudos de Ejercicios Fiscales Anteriores (ADEFAS)</t>
  </si>
  <si>
    <t>Adeudos del ejercicio fiscal 2015</t>
  </si>
  <si>
    <t>CUENTA</t>
  </si>
  <si>
    <t>PARTIDA</t>
  </si>
  <si>
    <t>DERECHOS POR PRESTACIÓN DE SERVICIOS</t>
  </si>
  <si>
    <t xml:space="preserve">POR LOS SERVICIOS DE AGUA POTABLE </t>
  </si>
  <si>
    <t>41730714344301000100000</t>
  </si>
  <si>
    <t>POR SERV. AGUA POT. DOMESTICO</t>
  </si>
  <si>
    <t>41730714344301000200000</t>
  </si>
  <si>
    <t xml:space="preserve">POR SERV. AGUA POT.  COMERCIAL </t>
  </si>
  <si>
    <t>41730714344301000300000</t>
  </si>
  <si>
    <t xml:space="preserve">POR SERV. AGUA POT.  INDUSTRIAL </t>
  </si>
  <si>
    <t>41730714344301000400000</t>
  </si>
  <si>
    <t>POR SERV. AGUA POT.   MIXTO</t>
  </si>
  <si>
    <t xml:space="preserve">POR SERV. AGUA POT.  INSEN </t>
  </si>
  <si>
    <t xml:space="preserve">POR LOS SERVICIOS DE ALCANTARILLADO </t>
  </si>
  <si>
    <t>41730714344302000100000</t>
  </si>
  <si>
    <t>POR SERV. ALC.   DOMESTICO</t>
  </si>
  <si>
    <t>41730714344302000200000</t>
  </si>
  <si>
    <t xml:space="preserve">POR SERV. ALC.   COMERCIAL </t>
  </si>
  <si>
    <t>41730714344302000300000</t>
  </si>
  <si>
    <t xml:space="preserve">POR SERV. ALC.   INDUSTRIAL </t>
  </si>
  <si>
    <t>41730714344302000400000</t>
  </si>
  <si>
    <t>POR SERV. ALC.  MIXTO</t>
  </si>
  <si>
    <t>POR SERV. ALC. INSEN</t>
  </si>
  <si>
    <t>TRATAMIENTO DE  AGUA  RESIDUAL</t>
  </si>
  <si>
    <t>41730714344303000100000</t>
  </si>
  <si>
    <t>POR EL TRATAMIENTO DE AGUA RESIDUAL</t>
  </si>
  <si>
    <t>CONTRATOS PARA TODOS LOS  GIROS</t>
  </si>
  <si>
    <t>41730714344304000100000</t>
  </si>
  <si>
    <t>CONTRATO DE AGUA POTABLE</t>
  </si>
  <si>
    <t>41730714344304000200000</t>
  </si>
  <si>
    <t>CONTRATO DE ALCANTARILLADO</t>
  </si>
  <si>
    <t>CONTRATO DE DESCARGA DE AGUA RESIDUALES</t>
  </si>
  <si>
    <t>DERECHOS  DE  INCORPORACION DE FRACCIONAMIENTOS</t>
  </si>
  <si>
    <t>41730714344306000100000</t>
  </si>
  <si>
    <t>INCORPORACIONES COMERCIALES E INDUSTRIALES</t>
  </si>
  <si>
    <t>41730714344307000100000</t>
  </si>
  <si>
    <t>DERECHOS DE CONEXIÓN A LAS  REDES DE AGUA POTABLE</t>
  </si>
  <si>
    <t>41730714344307000200000</t>
  </si>
  <si>
    <t>DERECHOS DE CONEXIÓN A LAS  REDES DE DRENAJE SANITARIO</t>
  </si>
  <si>
    <t>INCORPORACION INDIVIDUAL</t>
  </si>
  <si>
    <t>RECEPCION DE  FUENTES DE ABASTECIMIENTO  Y TITULOS</t>
  </si>
  <si>
    <t>POR LA VENTA DE AGUA TRATADA</t>
  </si>
  <si>
    <t>41730714344310000100000</t>
  </si>
  <si>
    <t>MATERIALES E INSTALACION DE RAMAL PARA TOMAS  DE AGUA</t>
  </si>
  <si>
    <t>41730714344311000100000</t>
  </si>
  <si>
    <t>BT (TOMA BANQUETA TIERRA 1/2)</t>
  </si>
  <si>
    <t>41730714344311000200000</t>
  </si>
  <si>
    <t>BP (TOMA BANQUETA PAV 1/2)</t>
  </si>
  <si>
    <t>41730714344311000300000</t>
  </si>
  <si>
    <t>CT (TOMA HATA 6 MTS TERRA 1/2)</t>
  </si>
  <si>
    <t>41730714344311000400000</t>
  </si>
  <si>
    <t>CP (TOMA CORTA 1/2 6 MTS PAV)</t>
  </si>
  <si>
    <t>41730714344311000500000</t>
  </si>
  <si>
    <t>LT (LARGA HASTA 10 MTS 1/2 TER)</t>
  </si>
  <si>
    <t>41730714344311000600000</t>
  </si>
  <si>
    <t>LP (TOMA LARA 10 MTS PAV 1/2)</t>
  </si>
  <si>
    <t>41730714344311000700000</t>
  </si>
  <si>
    <t>MAT PARA TOMA MTRO. ADIC. TERACERIA</t>
  </si>
  <si>
    <t>41730714344311000800000</t>
  </si>
  <si>
    <t>MAT. PARA TOMA PTRO. ADIC. PAV.</t>
  </si>
  <si>
    <t>41730714344311000900000</t>
  </si>
  <si>
    <t>METRO ADICIONAL</t>
  </si>
  <si>
    <t>MATERIALES E INSTALACION DE CUADRO DE MEDICION</t>
  </si>
  <si>
    <t>41730714344312000100000</t>
  </si>
  <si>
    <t>CUADRO DE MEDICION 1/2</t>
  </si>
  <si>
    <t>SUMINISTRO E  INSTALACION DE MEDIDORES DE AGUA POTABLE</t>
  </si>
  <si>
    <t>41730714344313000100000</t>
  </si>
  <si>
    <t>INSTALACION DE MEDIDOR 1/2</t>
  </si>
  <si>
    <t>MATERIALES  E INSTALACION PARA DESCARGA  DE AGUA RESIDUAL</t>
  </si>
  <si>
    <t>SERVICIOS ADMINISTRATIVOS PARA USUARIOS</t>
  </si>
  <si>
    <t>41730714344315000100000</t>
  </si>
  <si>
    <t>DUPLICADO DE RECIBO NOTIFICADO</t>
  </si>
  <si>
    <t>41730714344315000200000</t>
  </si>
  <si>
    <t>CONSTANCIA DE NO ADEUDO</t>
  </si>
  <si>
    <t>41730714344315000300000</t>
  </si>
  <si>
    <t>CAMBIO DE TITULAR</t>
  </si>
  <si>
    <t>41730714344315000400000</t>
  </si>
  <si>
    <t>CANCELACION TEMPORAL DE TOMA</t>
  </si>
  <si>
    <t>41730714344315000500000</t>
  </si>
  <si>
    <t>ABONO POR CONTRATO DE AGUA</t>
  </si>
  <si>
    <t>41730714344315000600000</t>
  </si>
  <si>
    <t>ABONO POR CONTRATO DE ALCANTARILLADO</t>
  </si>
  <si>
    <t>41730714344315000700000</t>
  </si>
  <si>
    <t>DIFERENCIA CONTRATO DE AGUA</t>
  </si>
  <si>
    <t>SERVICIOS OPERATIVOS PARA USUARIOS</t>
  </si>
  <si>
    <t>AGUA PARA CONSTRUCCION POR VOLUMEN PARA FRACCIONAMIENTOS</t>
  </si>
  <si>
    <t>AGUA PARA CONSTRUCCION POR  AREA  A CONSTRUIR</t>
  </si>
  <si>
    <t>LIMPIEZA DESCARGA SANITARIA CON VARILLA</t>
  </si>
  <si>
    <t>41730714344316000400000</t>
  </si>
  <si>
    <t>LIMPIEZA DESCARGA SANITARIA  CON CAMION  HIDRONEUMATICO</t>
  </si>
  <si>
    <t>41730714344316000500000</t>
  </si>
  <si>
    <t>RECONEXION DE TOMA DE AGUA</t>
  </si>
  <si>
    <t>RECONEXION DE DRENAJE</t>
  </si>
  <si>
    <t>AGUA PARA PIPAS (SIN TRANSPORTE)</t>
  </si>
  <si>
    <t>41730714344316000800000</t>
  </si>
  <si>
    <t>TRANSPORTE DE  AGUA  EN PIPA</t>
  </si>
  <si>
    <t>SERVICIOS OPERATIVOS Y ADMINISTRATIVOS  PARA  DESARROLLOS INMOBILIARIOS DE TODOS LOS GIROS</t>
  </si>
  <si>
    <t>41730714344317000100000</t>
  </si>
  <si>
    <t>CARTA DE FACTIBILIDAD</t>
  </si>
  <si>
    <t>REVISION DE PROYECTOS Y RECEPCION DE OBRAS PARA  FRACCIONAMIENTOS</t>
  </si>
  <si>
    <t>POR DESCARGA DE CONTAMINANTES EN LAS AGUAS RESIDUALES</t>
  </si>
  <si>
    <t>ACCESORIOS  DE LOS DERECHOS</t>
  </si>
  <si>
    <t>REZAGO POR SERVICIO DE AGUA POTABLE</t>
  </si>
  <si>
    <t>41730714544501000100000</t>
  </si>
  <si>
    <t>REZAGO POR SERVICIO DE AGUA DOMESTICO</t>
  </si>
  <si>
    <t>41730714544501000200000</t>
  </si>
  <si>
    <t xml:space="preserve">REZADO POR SERVICIO DE AGUA COMERCIAL </t>
  </si>
  <si>
    <t>41730714544501000300000</t>
  </si>
  <si>
    <t xml:space="preserve">REZAGO POR SERVICIO DE AGUA INDUSTRIAL </t>
  </si>
  <si>
    <t>41730714544501000400000</t>
  </si>
  <si>
    <t xml:space="preserve">REZAGO POR SERVICIO DE AGUA MIXTO </t>
  </si>
  <si>
    <t xml:space="preserve">REZAGO POR SERVICIO DE AGUA INSEN </t>
  </si>
  <si>
    <t xml:space="preserve">REZAGO POR SERVICIO DE ALCANTARILLADO </t>
  </si>
  <si>
    <t>41730714544502000100000</t>
  </si>
  <si>
    <t xml:space="preserve">REZAGO POR SERVICIO DE ALCANTARILLADO  DOMESTICO </t>
  </si>
  <si>
    <t>41730714544502000200000</t>
  </si>
  <si>
    <t xml:space="preserve">REZAGO POR SERVICIO DE ALCANTARILLADO  COMERCIAL </t>
  </si>
  <si>
    <t>41730714544502000300000</t>
  </si>
  <si>
    <t xml:space="preserve">REZAGO POR SERVICIO DE ALCANTARILLADO INDUSTRIAL </t>
  </si>
  <si>
    <t>41730714544502000400000</t>
  </si>
  <si>
    <t xml:space="preserve">REZAGO POR SERVICIO DE ALCANTARILLADO MIXTO </t>
  </si>
  <si>
    <t>REZAGO POR SERVICIO DE ALCANTARILLADO INSEN</t>
  </si>
  <si>
    <t xml:space="preserve">RECARGOS </t>
  </si>
  <si>
    <t>41730714544503000100000</t>
  </si>
  <si>
    <t>ACTUALIZACIONES</t>
  </si>
  <si>
    <t>GASTOS DE EJECUCION</t>
  </si>
  <si>
    <t>PRODUCTOS DE TIPO CORRIENTE</t>
  </si>
  <si>
    <t xml:space="preserve">OTROS INGRESOS                                    </t>
  </si>
  <si>
    <t xml:space="preserve">RETARDOS                                          </t>
  </si>
  <si>
    <t xml:space="preserve">SANCIONES                                         </t>
  </si>
  <si>
    <t xml:space="preserve">VARIOS DIFERENCIA                                 </t>
  </si>
  <si>
    <t xml:space="preserve">COOPERACIONES                                     </t>
  </si>
  <si>
    <t xml:space="preserve">OTROS PRODUCTOS                                   </t>
  </si>
  <si>
    <t xml:space="preserve">MATERIAL DE RECUPERACION                          </t>
  </si>
  <si>
    <t xml:space="preserve">DIFERENCIA DE INVENTARIOS                         </t>
  </si>
  <si>
    <t xml:space="preserve">FLETE                                             </t>
  </si>
  <si>
    <t xml:space="preserve">PRODUCTOS FINANCIEROS                             </t>
  </si>
  <si>
    <t>RENDIMIENTOS BANCARIOS</t>
  </si>
  <si>
    <t xml:space="preserve">RENDIMIENTOS CAJA POPULAR </t>
  </si>
  <si>
    <t>APROVECHAMIENTOS</t>
  </si>
  <si>
    <t>APROVECHAMIENTOS DE TIPO CORRIENTE</t>
  </si>
  <si>
    <t>41730716146101000000000</t>
  </si>
  <si>
    <t>MULTAS</t>
  </si>
  <si>
    <t xml:space="preserve">OTROS APROVECHAMIENTOS </t>
  </si>
  <si>
    <t>41730716146102000000000</t>
  </si>
  <si>
    <t>REINTEGRO DE PAGOS DE DERECHOS CNA</t>
  </si>
  <si>
    <t xml:space="preserve">APORTACION DE USUARIOS </t>
  </si>
  <si>
    <t>41730716146104000000000</t>
  </si>
  <si>
    <t>DEVOLUCION IMPUESTO AL VALOR AGREGADO</t>
  </si>
  <si>
    <t xml:space="preserve">OBRAS Y APORTACIONES CON EL MUNICIPIO </t>
  </si>
  <si>
    <t>INGRESOS POR VENTAS DE BIENES Y SERVICIOS DE ORGANISMOS DESC.</t>
  </si>
  <si>
    <t>41730717147110000000000</t>
  </si>
  <si>
    <t>VENTA MATERIALES Y MANO DE OBRA</t>
  </si>
  <si>
    <t xml:space="preserve">AMPLIACION DE RED DE AGUA </t>
  </si>
  <si>
    <t xml:space="preserve">AMPLIACION DE RED DE ALCANTARILLADO </t>
  </si>
  <si>
    <t xml:space="preserve">REHABILITACION DE RED DE AGUA </t>
  </si>
  <si>
    <t>REUBICACION DEL MEDIDOR POR TOMA</t>
  </si>
  <si>
    <t>TOTALES</t>
  </si>
  <si>
    <t>Indemnizaciones</t>
  </si>
  <si>
    <t>Prestaciones Contractuales</t>
  </si>
  <si>
    <t>Pago de Estímulos a Servidores Públicos</t>
  </si>
  <si>
    <t>Alimentos y Utensilios</t>
  </si>
  <si>
    <t>Materias Primas y Materiales de Producción y Comercialización</t>
  </si>
  <si>
    <t>Medidores</t>
  </si>
  <si>
    <t>Energía Electrica</t>
  </si>
  <si>
    <t>Telefonía Celular</t>
  </si>
  <si>
    <t>Transferencias, Asignaciones, Subcidios y Otras Ayudas</t>
  </si>
  <si>
    <t>Transferencias Internas y Asignaciones al Sector Público</t>
  </si>
  <si>
    <t>Transferencias al Resto del Sector Público</t>
  </si>
  <si>
    <t>Subcidios y Subvenciones</t>
  </si>
  <si>
    <t>Ayudas Sociales</t>
  </si>
  <si>
    <t>Pensiones y Jubilaciones</t>
  </si>
  <si>
    <t>Vehículos y Equipo de Transporte</t>
  </si>
  <si>
    <t>Equipo de Defensa y Seguridad</t>
  </si>
  <si>
    <t>Activos Biológicos</t>
  </si>
  <si>
    <t>Terrenos</t>
  </si>
  <si>
    <t>Activos Intangibles</t>
  </si>
  <si>
    <t>Software</t>
  </si>
  <si>
    <t>Obra Pública en Bienes de Dominio Público</t>
  </si>
  <si>
    <t>Proyectos Productivos y Acciones de Fomento</t>
  </si>
  <si>
    <t>Programas de Inversión</t>
  </si>
  <si>
    <t>Acciones y Participaciones de Capital</t>
  </si>
  <si>
    <t>Compra de Títulos y Valores</t>
  </si>
  <si>
    <t>Otras Inversiones Financieras</t>
  </si>
  <si>
    <t>Aportaciones</t>
  </si>
  <si>
    <t>Convenios</t>
  </si>
  <si>
    <t>Reparación y mantenimiento de equipo de transporte</t>
  </si>
  <si>
    <t>Impuestos sobre nomina y otros que deriven de una relación laboral.</t>
  </si>
  <si>
    <t>Impuestos sobre nomina</t>
  </si>
  <si>
    <t>Combustibles, Lubricantes y Aditivos para vehiculos</t>
  </si>
  <si>
    <t>SMAPA</t>
  </si>
  <si>
    <t>Gasto Corriente</t>
  </si>
  <si>
    <t>Servicios Personales</t>
  </si>
  <si>
    <t>Remuneraciones al Personal de Carácter Permanente</t>
  </si>
  <si>
    <t>Remuneraciones al Personal de Carácter Tránsitorio</t>
  </si>
  <si>
    <t>Impuesto Sobre Nómina y Otros que se Deriven de una Relación Laboral</t>
  </si>
  <si>
    <t>Materiales y Suministros</t>
  </si>
  <si>
    <t>Materiales de Administración, Emisión de Documentos y Articulos Especiales</t>
  </si>
  <si>
    <t>Materiales y Artículos de Construcción y de Reparación</t>
  </si>
  <si>
    <t>Productos Químicos, Farmacéuticos y de Laboratorio</t>
  </si>
  <si>
    <t xml:space="preserve">Materiales y Suministros para Seguridad </t>
  </si>
  <si>
    <t>Servicios Generales</t>
  </si>
  <si>
    <t>Servicios Profesionales, Científicos, Técnicos y Otros Servicios</t>
  </si>
  <si>
    <t>Servicios de Comuniciación Social y Publicidad</t>
  </si>
  <si>
    <t>Servicios de Traslados y Viáticos</t>
  </si>
  <si>
    <t>Transferencias a Fideicomisos, Mandatos y Otros Análogos</t>
  </si>
  <si>
    <t>Transferencias al Exterior</t>
  </si>
  <si>
    <t>Gasto de Inversión</t>
  </si>
  <si>
    <t>Bienes Muebles, Inmuebles e Intangibles</t>
  </si>
  <si>
    <t>Mobbililarios y Equipo Educacional y Recreativo</t>
  </si>
  <si>
    <t>Equipo e Instrumental Médico y de Laboratorio</t>
  </si>
  <si>
    <t>Maquinaría, Otros Equipos y Herramientas</t>
  </si>
  <si>
    <t>Bienes Inmuebles</t>
  </si>
  <si>
    <t>Inversión Pública</t>
  </si>
  <si>
    <t>Inversiones Financieras y Otras Provisiones</t>
  </si>
  <si>
    <t>Inversión para el Fomento de Actividades Productivas</t>
  </si>
  <si>
    <t>Consesión de Préstamos</t>
  </si>
  <si>
    <t>Inversiones en Fideicomisos, Mandatos y Otros Análogos</t>
  </si>
  <si>
    <t>Provisiones para Contigencias y Otras Erogaciones Especiales</t>
  </si>
  <si>
    <t>Participaciones y Aportaciones</t>
  </si>
  <si>
    <t>Participacioes</t>
  </si>
  <si>
    <t>Participaciones</t>
  </si>
  <si>
    <t>Amortización de la Deuda y Disminución de Pasivos</t>
  </si>
  <si>
    <t>Deuda Pública</t>
  </si>
  <si>
    <t>Amortización de la Deuda Pública</t>
  </si>
  <si>
    <t>Intereses de la Deuda</t>
  </si>
  <si>
    <t>Comisiones de la Deuda</t>
  </si>
  <si>
    <t>Gastos de la Deuda</t>
  </si>
  <si>
    <t>Costo por Coberturas</t>
  </si>
  <si>
    <t>Apoyos Financieros</t>
  </si>
  <si>
    <t>Adeudos de Ejercicios Físcales Anteriores (ADEFAS)</t>
  </si>
  <si>
    <t>Sistema Municipal de Agua Potable y Alcantarillado</t>
  </si>
  <si>
    <t>Clasificación Administrativa</t>
  </si>
  <si>
    <t>FIN</t>
  </si>
  <si>
    <t>FUN</t>
  </si>
  <si>
    <t>SF</t>
  </si>
  <si>
    <t>UR</t>
  </si>
  <si>
    <t>PG/P</t>
  </si>
  <si>
    <t>FF</t>
  </si>
  <si>
    <t>DESCRIPCION</t>
  </si>
  <si>
    <t xml:space="preserve">PROTECCION AMBIENTAL </t>
  </si>
  <si>
    <t>2.1.3</t>
  </si>
  <si>
    <t>ORDENACION DE AGUAS RESIDUALES, DRENAJES Y ALCANTARILLADO</t>
  </si>
  <si>
    <t>Recursos Propios</t>
  </si>
  <si>
    <t>Productos Minerales no metálicos</t>
  </si>
  <si>
    <t>Cemento y Productos de Concreto</t>
  </si>
  <si>
    <t>Sueldo Base al Personal Eventual</t>
  </si>
  <si>
    <t>Prima de Vacaciones</t>
  </si>
  <si>
    <t>Aportaciones de Seguridad Social</t>
  </si>
  <si>
    <t>Aportaciones a fondos de vivienda</t>
  </si>
  <si>
    <t>Aportaciones al sistema para el retiro</t>
  </si>
  <si>
    <t>Materiales, útiles y equipos menores de la información y telecomunicación</t>
  </si>
  <si>
    <t xml:space="preserve">Combustibles, lubricantes y aditivos para maquinaria </t>
  </si>
  <si>
    <t>Refacciones y accesorios menores de mobiliario y equipo de administración, educacional y recreativo</t>
  </si>
  <si>
    <t>Vestuario y uniformes</t>
  </si>
  <si>
    <t>Materiales Diversos</t>
  </si>
  <si>
    <t>Servicios profesionales, científicos y técnicos integrales</t>
  </si>
  <si>
    <t>Seguro de bienes patrimoniales</t>
  </si>
  <si>
    <t>Conservación y mantenimiento menor de inmuebles</t>
  </si>
  <si>
    <t>Instalación, reparación y mantenimiento de maquinaria, otros equipos y herramienta</t>
  </si>
  <si>
    <t>Equipo de cómputo y de tecnología de la información</t>
  </si>
  <si>
    <t>Refacciones y accesorios menores de equipo de transporte</t>
  </si>
  <si>
    <t>Equipo de comunicación y telecomunicación</t>
  </si>
  <si>
    <t>VIVIENDA Y SERVICIOS A LA COMUNIDAD</t>
  </si>
  <si>
    <t>2.2.3</t>
  </si>
  <si>
    <t xml:space="preserve">ABASTECIMIENTO DEL AGUA </t>
  </si>
  <si>
    <t xml:space="preserve">CONSEJO DIRECTIVO </t>
  </si>
  <si>
    <t xml:space="preserve">ADMINISTRACION DE LOS RECURSOS DEL SMAPA DE FORMA EFICIENTE </t>
  </si>
  <si>
    <t>Materiales, útiles y equipos menores de oficina</t>
  </si>
  <si>
    <t xml:space="preserve">DIRECTOR GENERAL </t>
  </si>
  <si>
    <t>Maquinaria y equipo industrial</t>
  </si>
  <si>
    <t xml:space="preserve">Medidores </t>
  </si>
  <si>
    <t>ADMINISTRACION GENERAL DE OFICINA</t>
  </si>
  <si>
    <t>Refacciones y accesorios menores de equipo de cómputo y tecnologías de la información</t>
  </si>
  <si>
    <t>Fletes y maniobras</t>
  </si>
  <si>
    <t>Difusión por radio, televisión y otros medios de mensajes sobre programas y actividades</t>
  </si>
  <si>
    <t>Viáticos en el país</t>
  </si>
  <si>
    <t>Materiales y útiles de enseñanza</t>
  </si>
  <si>
    <t>Automóviles y camiones</t>
  </si>
  <si>
    <t>JEFE DE CONTABILIDAD</t>
  </si>
  <si>
    <t>Impuestos y derechos por extracción de agua</t>
  </si>
  <si>
    <t>Impuesto sobre nóminas</t>
  </si>
  <si>
    <t>Honorarios asimilables a salarios</t>
  </si>
  <si>
    <t>Servicios de consultoría administrativa, procesos, técnica y en tecnologías de la información</t>
  </si>
  <si>
    <t>Equipo de generación y distribución de energía eléctrica</t>
  </si>
  <si>
    <t>PROGRAMA  DE REPARACION Y MANTENIMIENTO DE LINEAS HIDRAULICAS</t>
  </si>
  <si>
    <t xml:space="preserve">PROGRAMA DE INSTALACION DE TOMAS </t>
  </si>
  <si>
    <t>Productos quimicos básicos inorgánicos</t>
  </si>
  <si>
    <t>Combustibles, lubricantes y aditivos para vehiculos</t>
  </si>
  <si>
    <t xml:space="preserve">indemnizaciones </t>
  </si>
  <si>
    <t>JEFE  DE  FONTANEROS  Y  BOMBEOS</t>
  </si>
  <si>
    <t>Horas extraordinarias</t>
  </si>
  <si>
    <t>Combustible, Lubricantes y Aditivos para maquinaria</t>
  </si>
  <si>
    <t>indemnizaciones  por laudos comprometidos</t>
  </si>
  <si>
    <t>Maquinaria y equipo de construcción</t>
  </si>
  <si>
    <t>Herramientas y máquinas-herramienta</t>
  </si>
  <si>
    <t>Instalación, reparación y mantenimiento de equipo de computo y tecnología de la información</t>
  </si>
  <si>
    <t>Gastos de ceremonial, orden social y cultural</t>
  </si>
  <si>
    <t>Otros equipos de transporte</t>
  </si>
  <si>
    <t>Equipo de telemetría.</t>
  </si>
  <si>
    <t>Servicios integrales y otros servicios</t>
  </si>
  <si>
    <t>Otro mobiliario y equipo educacional y recreativo</t>
  </si>
  <si>
    <t>Equipo de alarma</t>
  </si>
  <si>
    <t>Instalación, reparación y mantenimiento de mobiliario y equipo de administración, educacional y recreativo</t>
  </si>
  <si>
    <t>VEHICULOS Y EQUIPO DE TRANSPORTE</t>
  </si>
  <si>
    <t>Pagos de estimulos a servidores publicos</t>
  </si>
  <si>
    <t>Ayudas sociales</t>
  </si>
  <si>
    <t>BIENES INMUEBLES</t>
  </si>
  <si>
    <t>Ejecución de proyectos productivos</t>
  </si>
  <si>
    <t xml:space="preserve">Estudios, formulación y evaluación de proyectos productivos </t>
  </si>
  <si>
    <t>Proyectos productivos y acciones de fomento</t>
  </si>
  <si>
    <t>COORDINADOR DE FONTANERIA</t>
  </si>
  <si>
    <t>COORDINADOR ADMINISTRATIVO</t>
  </si>
  <si>
    <t>SUPERVISOR DE FONTANERIA</t>
  </si>
  <si>
    <t>OPERADOR DE SERVICIOS DE FONTANERIA</t>
  </si>
  <si>
    <t>AUXILIAR ADMINISTRATIVO</t>
  </si>
  <si>
    <t>AUXILIAR DE SERVICIOS DE FONTANERIA</t>
  </si>
  <si>
    <t>OPERADOR DE VEHICULO</t>
  </si>
  <si>
    <t>OPERADOR DE PTAR</t>
  </si>
  <si>
    <t>AUXILIAR DE LIMPIEZA</t>
  </si>
  <si>
    <t>ENCARGADO DE PTAR</t>
  </si>
  <si>
    <t>DIRECTOR GENERAL DEL SMAPA</t>
  </si>
  <si>
    <t>3.1.1.2.0</t>
  </si>
  <si>
    <t>E0103</t>
  </si>
  <si>
    <t>E0202</t>
  </si>
  <si>
    <t>E0307</t>
  </si>
  <si>
    <t>E0402</t>
  </si>
  <si>
    <t>E0502</t>
  </si>
  <si>
    <t>E0101</t>
  </si>
  <si>
    <t>E0102</t>
  </si>
  <si>
    <t>E0201</t>
  </si>
  <si>
    <t>E0306</t>
  </si>
  <si>
    <t>E0501</t>
  </si>
  <si>
    <t>E0701</t>
  </si>
  <si>
    <t>E0106</t>
  </si>
  <si>
    <t>E0205</t>
  </si>
  <si>
    <t>E0310</t>
  </si>
  <si>
    <t>E0405</t>
  </si>
  <si>
    <t>E0504</t>
  </si>
  <si>
    <t>E0603</t>
  </si>
  <si>
    <t>E0105</t>
  </si>
  <si>
    <t>E0204</t>
  </si>
  <si>
    <t>E0309</t>
  </si>
  <si>
    <t>E0404</t>
  </si>
  <si>
    <t>E0104</t>
  </si>
  <si>
    <t>E0203</t>
  </si>
  <si>
    <t>E0308</t>
  </si>
  <si>
    <t>E0403</t>
  </si>
  <si>
    <t>E0503</t>
  </si>
  <si>
    <t>E1301</t>
  </si>
  <si>
    <t>E0702</t>
  </si>
  <si>
    <t>E0802</t>
  </si>
  <si>
    <t>E0902</t>
  </si>
  <si>
    <t>E1001</t>
  </si>
  <si>
    <t>E1102</t>
  </si>
  <si>
    <t>E1201</t>
  </si>
  <si>
    <t>Arrendamiento de activos intangibles</t>
  </si>
  <si>
    <t>Carrocerias y Remolques</t>
  </si>
  <si>
    <t>Prevision Social</t>
  </si>
  <si>
    <t>Previsión Social</t>
  </si>
  <si>
    <t xml:space="preserve">Impuesto sobre nominas </t>
  </si>
  <si>
    <t>Proyecto y construcción de tanque elevado en zona peñitas</t>
  </si>
  <si>
    <t xml:space="preserve">Gastos Relacionados con actividades culturales </t>
  </si>
  <si>
    <t>31120-8106</t>
  </si>
  <si>
    <t>31120-8101</t>
  </si>
  <si>
    <t>31120-8102</t>
  </si>
  <si>
    <t>31120-8103</t>
  </si>
  <si>
    <t>31120-8105</t>
  </si>
  <si>
    <t>1400320</t>
  </si>
  <si>
    <t>CONSISTENCIA EN EL ABASTECIMIENTO Y CONDUCCION DE AGUA</t>
  </si>
  <si>
    <t>CULTURA DEL AGUA</t>
  </si>
  <si>
    <t>TOTAL POR UNIDAD RESPONSABLE</t>
  </si>
  <si>
    <t>TOTAL POR FINALIDAD</t>
  </si>
  <si>
    <t>PROGRAMA  OPERACIÓN TINACOS</t>
  </si>
  <si>
    <t>PROGRAMA  MANTENIMIENTO Y OPERACIÓN DE POZOS</t>
  </si>
  <si>
    <t>OPERACION ABASTECIMIENTO Y CONDUCCION DE AGUA</t>
  </si>
  <si>
    <t>ADMINISTRACION DE LA INFORMACION FINANCIERA Y RENDICION DE CUENTAS</t>
  </si>
  <si>
    <t>Estímulos de Puntualidad y asistencia</t>
  </si>
  <si>
    <t>Equipo de telemetría</t>
  </si>
  <si>
    <t>Presupuesto 2021</t>
  </si>
  <si>
    <t>AUMENTO</t>
  </si>
  <si>
    <t>DISMINUCION</t>
  </si>
  <si>
    <t>1RA. MOD 2021</t>
  </si>
  <si>
    <t>Cemento y productos de concreto</t>
  </si>
  <si>
    <t>DEPARTAMENTO DE ALMACEN</t>
  </si>
  <si>
    <t>Clasificación por Tipo de Gasto</t>
  </si>
  <si>
    <t>3%</t>
  </si>
  <si>
    <t>3% NOMINA</t>
  </si>
  <si>
    <t xml:space="preserve">   </t>
  </si>
  <si>
    <t>MANTENIMIENTO Y CONSERVACION DE LA INFRAESTRUCTURA DE ALCANTARILLADO Y SANEAMIENTO</t>
  </si>
  <si>
    <t>PRESUPUESTO 2023</t>
  </si>
  <si>
    <t>ENCARGADO DE DEPARTAMENTO CULTURA DEL AGUA</t>
  </si>
  <si>
    <t>AUXILIAR DE DEPARTAMENTO OPERATIVO</t>
  </si>
  <si>
    <t>AUXILIAR ADMINISTRATIVO DE COMERCIALIZACION</t>
  </si>
  <si>
    <t>ENCARGADO DE INFORMATICA</t>
  </si>
  <si>
    <t>416900000000000000000000</t>
  </si>
  <si>
    <t>PRESUPUESTO 2024</t>
  </si>
  <si>
    <t>AUXILIAR DE CULTURA DEL AGUA</t>
  </si>
  <si>
    <t>Obras, rehabilitaciones de lineas hidraulicas y sanitarias en vialidades</t>
  </si>
  <si>
    <t>ENCARGADO RECURSOS HUMANOS Y AUX CONTABLE</t>
  </si>
  <si>
    <t>JEFE DE DEPARTAMENTO OPERATIVO (PTAR)</t>
  </si>
  <si>
    <t>COORDINADOR DEPTO. CONTABILIDAD</t>
  </si>
  <si>
    <t>COORDINADOR DEPTO. COMERCIALIZACION</t>
  </si>
  <si>
    <t>NIVEL 13</t>
  </si>
  <si>
    <t>NIVEL 12</t>
  </si>
  <si>
    <t>NIVEL 3</t>
  </si>
  <si>
    <t>NIVEL 14</t>
  </si>
  <si>
    <t>PRESUPUESTO 2025</t>
  </si>
  <si>
    <t>PLANTILLA DE PERSONAL</t>
  </si>
  <si>
    <t>3RA MODIFICACION</t>
  </si>
  <si>
    <t>DISMUNICION</t>
  </si>
  <si>
    <t>1RA. MOD 2025</t>
  </si>
  <si>
    <t>RESULTADO DEL EJERCICIO 2025</t>
  </si>
  <si>
    <t xml:space="preserve">                          SISTEMA MUNICIPAL DE AGUA POTABLE Y ALCANTARILLADO 1RA MODIFICACION AL PRESUPUESTO DE INGRESOS EJERCICIO 2025</t>
  </si>
  <si>
    <t>1ra modificación Presupuesto de Egresos  Ejercicio Fiscal 2025</t>
  </si>
  <si>
    <t>1RA MODIFICACIÓN AL PRESUPUESTO DE EGRESOS EJERCICIO 2025</t>
  </si>
  <si>
    <t>1RA MODIFICACION 2025</t>
  </si>
  <si>
    <t>Equipamento Vista Point, rehab carcamo rebombeo PTAR</t>
  </si>
  <si>
    <t>Anáisis de pozos</t>
  </si>
  <si>
    <t>Analisis de planta</t>
  </si>
  <si>
    <t>reparación vaktor</t>
  </si>
  <si>
    <t>reparacion piapa</t>
  </si>
  <si>
    <t>Retro</t>
  </si>
  <si>
    <t>Vehículos y equipo terrestre</t>
  </si>
  <si>
    <t>PRESUPUESTO 2025 1RA MOD</t>
  </si>
  <si>
    <t>1ra mod. Presupuesto de Egresos Ejercicio Fiscal 2025</t>
  </si>
  <si>
    <t>1ra Mod. Presupuesto de Egresos para el Ejercicio Fiscal 2025</t>
  </si>
  <si>
    <t>43990-79010-000-0000</t>
  </si>
  <si>
    <t>PRONOSTICO DE INGRESOS</t>
  </si>
  <si>
    <t>PRONOSTICO DE INGRESOS ESTIMADO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</si>
</sst>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#,##0.00_ ;[Red]\-#,##0.00\ "/>
    <numFmt numFmtId="166" formatCode="#,##0.000_ ;[Red]\-#,##0.000\ "/>
    <numFmt numFmtId="167" formatCode="#,##0.0_ ;[Red]\-#,##0.0\ 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8"/>
      <color theme="0"/>
      <name val="Lucida Sans Unicode"/>
      <family val="2"/>
    </font>
    <font>
      <sz val="8"/>
      <name val="Lucida Sans Unicode"/>
      <family val="2"/>
    </font>
    <font>
      <sz val="10"/>
      <name val="Lucida Sans Unicode"/>
      <family val="2"/>
    </font>
    <font>
      <sz val="11"/>
      <name val="Calibri"/>
      <family val="2"/>
      <scheme val="minor"/>
    </font>
    <font>
      <b/>
      <sz val="8"/>
      <name val="Lucida Sans Unicode"/>
      <family val="2"/>
    </font>
    <font>
      <b/>
      <sz val="18"/>
      <name val="Times New Roman"/>
      <family val="1"/>
    </font>
    <font>
      <b/>
      <sz val="16"/>
      <name val="Bookman Old Style"/>
      <family val="1"/>
    </font>
    <font>
      <b/>
      <sz val="10"/>
      <name val="Lucida Sans Unicode"/>
      <family val="2"/>
    </font>
    <font>
      <b/>
      <sz val="14"/>
      <name val="Bookman Old Style"/>
      <family val="1"/>
    </font>
    <font>
      <b/>
      <sz val="8"/>
      <color theme="1"/>
      <name val="Lucida Sans Unicode"/>
      <family val="2"/>
    </font>
    <font>
      <b/>
      <sz val="6"/>
      <color theme="0"/>
      <name val="Lucida Sans Unicode"/>
      <family val="2"/>
    </font>
    <font>
      <b/>
      <sz val="9"/>
      <color theme="1"/>
      <name val="Verdana"/>
      <family val="2"/>
    </font>
    <font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sz val="10"/>
      <name val="Century Gothic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7" tint="-0.49998474074526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4"/>
      <name val="Times New Roman"/>
      <family val="1"/>
    </font>
    <font>
      <b/>
      <u/>
      <sz val="12"/>
      <name val="Times New Roman"/>
      <family val="1"/>
    </font>
    <font>
      <b/>
      <sz val="11"/>
      <name val="Lucida Sans Unicode"/>
      <family val="2"/>
    </font>
    <font>
      <sz val="11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Lucida Sans Unicode"/>
      <family val="2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indexed="8"/>
      <name val="Arial"/>
      <family val="2"/>
    </font>
    <font>
      <b/>
      <sz val="17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7EEF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/>
        <bgColor indexed="64"/>
      </patternFill>
    </fill>
  </fills>
  <borders count="1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dashed">
        <color indexed="64"/>
      </left>
      <right style="hair">
        <color indexed="64"/>
      </right>
      <top style="medium">
        <color indexed="64"/>
      </top>
      <bottom/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</cellStyleXfs>
  <cellXfs count="478">
    <xf numFmtId="0" fontId="0" fillId="0" borderId="0" xfId="0"/>
    <xf numFmtId="0" fontId="7" fillId="3" borderId="1" xfId="4" applyFont="1" applyFill="1" applyBorder="1" applyAlignment="1">
      <alignment horizontal="center" vertical="center" shrinkToFit="1"/>
    </xf>
    <xf numFmtId="0" fontId="7" fillId="3" borderId="1" xfId="4" applyFont="1" applyFill="1" applyBorder="1" applyAlignment="1">
      <alignment horizontal="center" vertical="center" wrapText="1" shrinkToFit="1"/>
    </xf>
    <xf numFmtId="44" fontId="0" fillId="2" borderId="5" xfId="0" applyNumberFormat="1" applyFill="1" applyBorder="1"/>
    <xf numFmtId="43" fontId="0" fillId="2" borderId="5" xfId="0" applyNumberFormat="1" applyFill="1" applyBorder="1"/>
    <xf numFmtId="0" fontId="11" fillId="2" borderId="0" xfId="5" applyFont="1" applyFill="1" applyAlignment="1">
      <alignment shrinkToFit="1"/>
    </xf>
    <xf numFmtId="0" fontId="11" fillId="2" borderId="0" xfId="5" applyFont="1" applyFill="1" applyAlignment="1">
      <alignment horizontal="center" shrinkToFit="1"/>
    </xf>
    <xf numFmtId="164" fontId="11" fillId="2" borderId="0" xfId="5" applyNumberFormat="1" applyFont="1" applyFill="1" applyAlignment="1">
      <alignment horizontal="center" shrinkToFit="1"/>
    </xf>
    <xf numFmtId="4" fontId="11" fillId="2" borderId="0" xfId="5" applyNumberFormat="1" applyFont="1" applyFill="1" applyAlignment="1">
      <alignment horizontal="right" shrinkToFit="1"/>
    </xf>
    <xf numFmtId="4" fontId="11" fillId="2" borderId="0" xfId="5" applyNumberFormat="1" applyFont="1" applyFill="1" applyAlignment="1">
      <alignment shrinkToFit="1"/>
    </xf>
    <xf numFmtId="4" fontId="11" fillId="2" borderId="0" xfId="5" applyNumberFormat="1" applyFont="1" applyFill="1" applyAlignment="1">
      <alignment vertical="top" shrinkToFit="1"/>
    </xf>
    <xf numFmtId="0" fontId="0" fillId="2" borderId="0" xfId="0" applyFill="1"/>
    <xf numFmtId="0" fontId="12" fillId="2" borderId="0" xfId="0" applyFont="1" applyFill="1" applyAlignment="1">
      <alignment horizontal="center" wrapText="1"/>
    </xf>
    <xf numFmtId="0" fontId="4" fillId="2" borderId="0" xfId="4" applyFont="1" applyFill="1" applyAlignment="1">
      <alignment horizontal="center" shrinkToFit="1"/>
    </xf>
    <xf numFmtId="4" fontId="3" fillId="2" borderId="0" xfId="5" applyNumberFormat="1" applyFont="1" applyFill="1" applyAlignment="1">
      <alignment horizontal="center" shrinkToFit="1"/>
    </xf>
    <xf numFmtId="0" fontId="6" fillId="2" borderId="0" xfId="4" applyFont="1" applyFill="1" applyAlignment="1">
      <alignment horizontal="center" shrinkToFit="1"/>
    </xf>
    <xf numFmtId="4" fontId="11" fillId="2" borderId="0" xfId="5" applyNumberFormat="1" applyFont="1" applyFill="1" applyAlignment="1">
      <alignment horizontal="center" shrinkToFit="1"/>
    </xf>
    <xf numFmtId="9" fontId="11" fillId="2" borderId="0" xfId="3" applyFont="1" applyFill="1" applyAlignment="1">
      <alignment horizontal="center" shrinkToFit="1"/>
    </xf>
    <xf numFmtId="49" fontId="16" fillId="2" borderId="0" xfId="5" applyNumberFormat="1" applyFont="1" applyFill="1" applyAlignment="1">
      <alignment horizontal="right" shrinkToFit="1"/>
    </xf>
    <xf numFmtId="4" fontId="7" fillId="3" borderId="9" xfId="5" applyNumberFormat="1" applyFont="1" applyFill="1" applyBorder="1" applyAlignment="1">
      <alignment horizontal="center" shrinkToFit="1"/>
    </xf>
    <xf numFmtId="4" fontId="7" fillId="3" borderId="17" xfId="5" applyNumberFormat="1" applyFont="1" applyFill="1" applyBorder="1" applyAlignment="1">
      <alignment horizontal="center" vertical="center" shrinkToFit="1"/>
    </xf>
    <xf numFmtId="4" fontId="7" fillId="3" borderId="14" xfId="5" applyNumberFormat="1" applyFont="1" applyFill="1" applyBorder="1" applyAlignment="1">
      <alignment horizontal="center" vertical="center" shrinkToFit="1"/>
    </xf>
    <xf numFmtId="4" fontId="7" fillId="3" borderId="14" xfId="5" applyNumberFormat="1" applyFont="1" applyFill="1" applyBorder="1" applyAlignment="1">
      <alignment horizontal="center" vertical="justify" shrinkToFit="1"/>
    </xf>
    <xf numFmtId="4" fontId="7" fillId="3" borderId="15" xfId="5" applyNumberFormat="1" applyFont="1" applyFill="1" applyBorder="1" applyAlignment="1">
      <alignment horizontal="center" vertical="justify" shrinkToFit="1"/>
    </xf>
    <xf numFmtId="4" fontId="17" fillId="3" borderId="17" xfId="5" applyNumberFormat="1" applyFont="1" applyFill="1" applyBorder="1" applyAlignment="1">
      <alignment horizontal="center" vertical="justify" shrinkToFit="1"/>
    </xf>
    <xf numFmtId="4" fontId="17" fillId="3" borderId="18" xfId="5" applyNumberFormat="1" applyFont="1" applyFill="1" applyBorder="1" applyAlignment="1">
      <alignment horizontal="center" vertical="justify" shrinkToFit="1"/>
    </xf>
    <xf numFmtId="4" fontId="17" fillId="3" borderId="14" xfId="5" applyNumberFormat="1" applyFont="1" applyFill="1" applyBorder="1" applyAlignment="1">
      <alignment horizontal="center" vertical="justify" shrinkToFit="1"/>
    </xf>
    <xf numFmtId="4" fontId="7" fillId="3" borderId="19" xfId="5" applyNumberFormat="1" applyFont="1" applyFill="1" applyBorder="1" applyAlignment="1">
      <alignment horizontal="center" vertical="center" shrinkToFit="1"/>
    </xf>
    <xf numFmtId="4" fontId="7" fillId="3" borderId="18" xfId="5" applyNumberFormat="1" applyFont="1" applyFill="1" applyBorder="1" applyAlignment="1">
      <alignment horizontal="center" vertical="center" shrinkToFit="1"/>
    </xf>
    <xf numFmtId="4" fontId="7" fillId="3" borderId="20" xfId="5" applyNumberFormat="1" applyFont="1" applyFill="1" applyBorder="1" applyAlignment="1">
      <alignment horizontal="center" vertical="center" shrinkToFit="1"/>
    </xf>
    <xf numFmtId="4" fontId="11" fillId="2" borderId="21" xfId="5" applyNumberFormat="1" applyFont="1" applyFill="1" applyBorder="1" applyAlignment="1">
      <alignment horizontal="right" shrinkToFit="1"/>
    </xf>
    <xf numFmtId="4" fontId="11" fillId="2" borderId="22" xfId="5" applyNumberFormat="1" applyFont="1" applyFill="1" applyBorder="1" applyAlignment="1">
      <alignment horizontal="center" shrinkToFit="1"/>
    </xf>
    <xf numFmtId="4" fontId="11" fillId="2" borderId="23" xfId="5" applyNumberFormat="1" applyFont="1" applyFill="1" applyBorder="1" applyAlignment="1">
      <alignment horizontal="center" shrinkToFit="1"/>
    </xf>
    <xf numFmtId="4" fontId="11" fillId="2" borderId="24" xfId="5" applyNumberFormat="1" applyFont="1" applyFill="1" applyBorder="1" applyAlignment="1">
      <alignment horizontal="center" shrinkToFit="1"/>
    </xf>
    <xf numFmtId="4" fontId="11" fillId="2" borderId="22" xfId="5" applyNumberFormat="1" applyFont="1" applyFill="1" applyBorder="1" applyAlignment="1">
      <alignment shrinkToFit="1"/>
    </xf>
    <xf numFmtId="4" fontId="11" fillId="2" borderId="24" xfId="5" applyNumberFormat="1" applyFont="1" applyFill="1" applyBorder="1" applyAlignment="1">
      <alignment shrinkToFit="1"/>
    </xf>
    <xf numFmtId="4" fontId="11" fillId="2" borderId="25" xfId="5" applyNumberFormat="1" applyFont="1" applyFill="1" applyBorder="1" applyAlignment="1">
      <alignment horizontal="center" shrinkToFit="1"/>
    </xf>
    <xf numFmtId="1" fontId="11" fillId="4" borderId="26" xfId="5" applyNumberFormat="1" applyFont="1" applyFill="1" applyBorder="1" applyAlignment="1">
      <alignment horizontal="center" shrinkToFit="1"/>
    </xf>
    <xf numFmtId="1" fontId="11" fillId="2" borderId="0" xfId="5" applyNumberFormat="1" applyFont="1" applyFill="1" applyAlignment="1">
      <alignment horizontal="center" shrinkToFit="1"/>
    </xf>
    <xf numFmtId="4" fontId="11" fillId="2" borderId="27" xfId="5" applyNumberFormat="1" applyFont="1" applyFill="1" applyBorder="1" applyAlignment="1">
      <alignment shrinkToFit="1"/>
    </xf>
    <xf numFmtId="4" fontId="11" fillId="2" borderId="21" xfId="5" applyNumberFormat="1" applyFont="1" applyFill="1" applyBorder="1" applyAlignment="1">
      <alignment shrinkToFit="1"/>
    </xf>
    <xf numFmtId="4" fontId="11" fillId="2" borderId="21" xfId="5" applyNumberFormat="1" applyFont="1" applyFill="1" applyBorder="1" applyAlignment="1">
      <alignment horizontal="center" shrinkToFit="1"/>
    </xf>
    <xf numFmtId="4" fontId="11" fillId="2" borderId="27" xfId="5" applyNumberFormat="1" applyFont="1" applyFill="1" applyBorder="1" applyAlignment="1">
      <alignment horizontal="center" shrinkToFit="1"/>
    </xf>
    <xf numFmtId="4" fontId="11" fillId="2" borderId="28" xfId="5" applyNumberFormat="1" applyFont="1" applyFill="1" applyBorder="1" applyAlignment="1">
      <alignment horizontal="center" shrinkToFit="1"/>
    </xf>
    <xf numFmtId="3" fontId="11" fillId="0" borderId="0" xfId="5" applyNumberFormat="1" applyFont="1" applyAlignment="1">
      <alignment horizontal="left" shrinkToFit="1"/>
    </xf>
    <xf numFmtId="4" fontId="11" fillId="2" borderId="29" xfId="5" applyNumberFormat="1" applyFont="1" applyFill="1" applyBorder="1" applyAlignment="1">
      <alignment horizontal="center" shrinkToFit="1"/>
    </xf>
    <xf numFmtId="4" fontId="11" fillId="2" borderId="30" xfId="5" applyNumberFormat="1" applyFont="1" applyFill="1" applyBorder="1" applyAlignment="1">
      <alignment horizontal="center" shrinkToFit="1"/>
    </xf>
    <xf numFmtId="4" fontId="11" fillId="2" borderId="31" xfId="5" applyNumberFormat="1" applyFont="1" applyFill="1" applyBorder="1" applyAlignment="1">
      <alignment horizontal="center" shrinkToFit="1"/>
    </xf>
    <xf numFmtId="4" fontId="11" fillId="2" borderId="31" xfId="5" applyNumberFormat="1" applyFont="1" applyFill="1" applyBorder="1" applyAlignment="1">
      <alignment shrinkToFit="1"/>
    </xf>
    <xf numFmtId="0" fontId="11" fillId="0" borderId="32" xfId="5" applyFont="1" applyBorder="1" applyAlignment="1">
      <alignment shrinkToFit="1"/>
    </xf>
    <xf numFmtId="0" fontId="11" fillId="0" borderId="32" xfId="5" applyFont="1" applyBorder="1" applyAlignment="1">
      <alignment horizontal="center" shrinkToFit="1"/>
    </xf>
    <xf numFmtId="4" fontId="11" fillId="0" borderId="33" xfId="5" applyNumberFormat="1" applyFont="1" applyBorder="1" applyAlignment="1">
      <alignment horizontal="right" shrinkToFit="1"/>
    </xf>
    <xf numFmtId="4" fontId="11" fillId="0" borderId="34" xfId="6" applyNumberFormat="1" applyFont="1" applyBorder="1" applyAlignment="1">
      <alignment shrinkToFit="1"/>
    </xf>
    <xf numFmtId="4" fontId="11" fillId="0" borderId="35" xfId="6" applyNumberFormat="1" applyFont="1" applyBorder="1" applyAlignment="1">
      <alignment shrinkToFit="1"/>
    </xf>
    <xf numFmtId="4" fontId="11" fillId="2" borderId="35" xfId="6" applyNumberFormat="1" applyFont="1" applyFill="1" applyBorder="1" applyAlignment="1">
      <alignment shrinkToFit="1"/>
    </xf>
    <xf numFmtId="4" fontId="11" fillId="2" borderId="37" xfId="6" applyNumberFormat="1" applyFont="1" applyFill="1" applyBorder="1" applyAlignment="1">
      <alignment shrinkToFit="1"/>
    </xf>
    <xf numFmtId="0" fontId="16" fillId="0" borderId="32" xfId="5" applyFont="1" applyBorder="1" applyAlignment="1">
      <alignment shrinkToFit="1"/>
    </xf>
    <xf numFmtId="4" fontId="11" fillId="0" borderId="38" xfId="6" applyNumberFormat="1" applyFont="1" applyBorder="1" applyAlignment="1">
      <alignment shrinkToFit="1"/>
    </xf>
    <xf numFmtId="4" fontId="11" fillId="2" borderId="38" xfId="6" applyNumberFormat="1" applyFont="1" applyFill="1" applyBorder="1" applyAlignment="1">
      <alignment shrinkToFit="1"/>
    </xf>
    <xf numFmtId="0" fontId="11" fillId="0" borderId="30" xfId="5" applyFont="1" applyBorder="1" applyAlignment="1">
      <alignment shrinkToFit="1"/>
    </xf>
    <xf numFmtId="0" fontId="16" fillId="0" borderId="30" xfId="5" applyFont="1" applyBorder="1" applyAlignment="1">
      <alignment shrinkToFit="1"/>
    </xf>
    <xf numFmtId="0" fontId="11" fillId="0" borderId="30" xfId="5" applyFont="1" applyBorder="1" applyAlignment="1">
      <alignment horizontal="center" shrinkToFit="1"/>
    </xf>
    <xf numFmtId="4" fontId="11" fillId="0" borderId="28" xfId="6" applyNumberFormat="1" applyFont="1" applyBorder="1" applyAlignment="1">
      <alignment shrinkToFit="1"/>
    </xf>
    <xf numFmtId="4" fontId="11" fillId="0" borderId="37" xfId="6" applyNumberFormat="1" applyFont="1" applyBorder="1" applyAlignment="1">
      <alignment shrinkToFit="1"/>
    </xf>
    <xf numFmtId="4" fontId="11" fillId="0" borderId="36" xfId="6" applyNumberFormat="1" applyFont="1" applyBorder="1" applyAlignment="1">
      <alignment shrinkToFit="1"/>
    </xf>
    <xf numFmtId="4" fontId="11" fillId="0" borderId="29" xfId="6" applyNumberFormat="1" applyFont="1" applyBorder="1" applyAlignment="1">
      <alignment shrinkToFit="1"/>
    </xf>
    <xf numFmtId="4" fontId="11" fillId="0" borderId="39" xfId="6" applyNumberFormat="1" applyFont="1" applyBorder="1" applyAlignment="1">
      <alignment shrinkToFit="1"/>
    </xf>
    <xf numFmtId="4" fontId="16" fillId="0" borderId="34" xfId="6" applyNumberFormat="1" applyFont="1" applyBorder="1" applyAlignment="1">
      <alignment shrinkToFit="1"/>
    </xf>
    <xf numFmtId="4" fontId="11" fillId="0" borderId="27" xfId="6" applyNumberFormat="1" applyFont="1" applyBorder="1" applyAlignment="1">
      <alignment shrinkToFit="1"/>
    </xf>
    <xf numFmtId="4" fontId="11" fillId="2" borderId="40" xfId="6" applyNumberFormat="1" applyFont="1" applyFill="1" applyBorder="1" applyAlignment="1">
      <alignment shrinkToFit="1"/>
    </xf>
    <xf numFmtId="4" fontId="11" fillId="2" borderId="28" xfId="6" applyNumberFormat="1" applyFont="1" applyFill="1" applyBorder="1" applyAlignment="1">
      <alignment shrinkToFit="1"/>
    </xf>
    <xf numFmtId="4" fontId="11" fillId="0" borderId="43" xfId="6" applyNumberFormat="1" applyFont="1" applyBorder="1" applyAlignment="1">
      <alignment shrinkToFit="1"/>
    </xf>
    <xf numFmtId="4" fontId="11" fillId="0" borderId="44" xfId="6" applyNumberFormat="1" applyFont="1" applyBorder="1" applyAlignment="1">
      <alignment shrinkToFit="1"/>
    </xf>
    <xf numFmtId="0" fontId="11" fillId="0" borderId="0" xfId="5" applyFont="1" applyAlignment="1">
      <alignment shrinkToFit="1"/>
    </xf>
    <xf numFmtId="0" fontId="11" fillId="0" borderId="0" xfId="5" applyFont="1" applyAlignment="1">
      <alignment horizontal="center" shrinkToFit="1"/>
    </xf>
    <xf numFmtId="4" fontId="11" fillId="0" borderId="47" xfId="6" applyNumberFormat="1" applyFont="1" applyBorder="1" applyAlignment="1">
      <alignment shrinkToFit="1"/>
    </xf>
    <xf numFmtId="0" fontId="0" fillId="0" borderId="27" xfId="0" applyBorder="1"/>
    <xf numFmtId="0" fontId="0" fillId="2" borderId="27" xfId="0" applyFill="1" applyBorder="1"/>
    <xf numFmtId="0" fontId="18" fillId="0" borderId="0" xfId="0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4" fontId="19" fillId="2" borderId="0" xfId="0" applyNumberFormat="1" applyFont="1" applyFill="1"/>
    <xf numFmtId="4" fontId="0" fillId="2" borderId="0" xfId="0" applyNumberFormat="1" applyFill="1"/>
    <xf numFmtId="44" fontId="0" fillId="0" borderId="0" xfId="2" applyFont="1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43" fontId="21" fillId="0" borderId="0" xfId="7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21" fillId="0" borderId="0" xfId="0" applyFont="1"/>
    <xf numFmtId="4" fontId="21" fillId="0" borderId="0" xfId="0" applyNumberFormat="1" applyFont="1"/>
    <xf numFmtId="4" fontId="0" fillId="0" borderId="0" xfId="0" applyNumberFormat="1"/>
    <xf numFmtId="0" fontId="21" fillId="0" borderId="48" xfId="0" applyFont="1" applyBorder="1"/>
    <xf numFmtId="0" fontId="22" fillId="0" borderId="49" xfId="0" applyFont="1" applyBorder="1"/>
    <xf numFmtId="0" fontId="21" fillId="0" borderId="49" xfId="0" applyFont="1" applyBorder="1"/>
    <xf numFmtId="0" fontId="0" fillId="0" borderId="49" xfId="0" applyBorder="1"/>
    <xf numFmtId="4" fontId="0" fillId="0" borderId="48" xfId="0" applyNumberFormat="1" applyBorder="1"/>
    <xf numFmtId="0" fontId="24" fillId="0" borderId="49" xfId="0" applyFont="1" applyBorder="1"/>
    <xf numFmtId="0" fontId="2" fillId="0" borderId="49" xfId="0" applyFont="1" applyBorder="1"/>
    <xf numFmtId="0" fontId="2" fillId="0" borderId="50" xfId="0" applyFont="1" applyBorder="1"/>
    <xf numFmtId="44" fontId="0" fillId="0" borderId="0" xfId="2" applyFont="1" applyAlignment="1">
      <alignment horizontal="center" vertical="center"/>
    </xf>
    <xf numFmtId="44" fontId="0" fillId="0" borderId="0" xfId="0" applyNumberFormat="1"/>
    <xf numFmtId="43" fontId="0" fillId="0" borderId="0" xfId="0" applyNumberFormat="1"/>
    <xf numFmtId="43" fontId="1" fillId="0" borderId="15" xfId="7" applyBorder="1"/>
    <xf numFmtId="0" fontId="21" fillId="0" borderId="0" xfId="0" applyFont="1" applyAlignment="1">
      <alignment horizontal="center"/>
    </xf>
    <xf numFmtId="44" fontId="2" fillId="0" borderId="25" xfId="0" applyNumberFormat="1" applyFont="1" applyBorder="1"/>
    <xf numFmtId="0" fontId="27" fillId="9" borderId="11" xfId="0" applyFont="1" applyFill="1" applyBorder="1"/>
    <xf numFmtId="43" fontId="2" fillId="9" borderId="48" xfId="7" applyFont="1" applyFill="1" applyBorder="1"/>
    <xf numFmtId="43" fontId="2" fillId="10" borderId="48" xfId="7" applyFont="1" applyFill="1" applyBorder="1"/>
    <xf numFmtId="43" fontId="0" fillId="0" borderId="48" xfId="0" applyNumberFormat="1" applyBorder="1"/>
    <xf numFmtId="43" fontId="1" fillId="0" borderId="48" xfId="7" applyBorder="1"/>
    <xf numFmtId="43" fontId="1" fillId="10" borderId="48" xfId="7" applyFill="1" applyBorder="1"/>
    <xf numFmtId="43" fontId="0" fillId="0" borderId="48" xfId="7" applyFont="1" applyBorder="1"/>
    <xf numFmtId="43" fontId="3" fillId="2" borderId="0" xfId="4" applyNumberFormat="1" applyFont="1" applyFill="1" applyAlignment="1">
      <alignment horizontal="center" shrinkToFit="1"/>
    </xf>
    <xf numFmtId="44" fontId="2" fillId="6" borderId="25" xfId="0" applyNumberFormat="1" applyFont="1" applyFill="1" applyBorder="1"/>
    <xf numFmtId="44" fontId="2" fillId="4" borderId="1" xfId="0" applyNumberFormat="1" applyFont="1" applyFill="1" applyBorder="1"/>
    <xf numFmtId="43" fontId="0" fillId="0" borderId="61" xfId="0" applyNumberFormat="1" applyBorder="1"/>
    <xf numFmtId="43" fontId="1" fillId="0" borderId="62" xfId="7" applyBorder="1"/>
    <xf numFmtId="0" fontId="31" fillId="7" borderId="48" xfId="0" applyFont="1" applyFill="1" applyBorder="1" applyAlignment="1">
      <alignment horizontal="center" wrapText="1"/>
    </xf>
    <xf numFmtId="0" fontId="28" fillId="7" borderId="48" xfId="0" applyFont="1" applyFill="1" applyBorder="1" applyAlignment="1">
      <alignment horizontal="center" wrapText="1"/>
    </xf>
    <xf numFmtId="0" fontId="24" fillId="7" borderId="48" xfId="0" applyFont="1" applyFill="1" applyBorder="1" applyAlignment="1">
      <alignment horizontal="center" wrapText="1"/>
    </xf>
    <xf numFmtId="0" fontId="21" fillId="0" borderId="64" xfId="0" applyFont="1" applyBorder="1"/>
    <xf numFmtId="49" fontId="21" fillId="0" borderId="48" xfId="0" applyNumberFormat="1" applyFont="1" applyBorder="1"/>
    <xf numFmtId="0" fontId="21" fillId="0" borderId="48" xfId="0" applyFont="1" applyBorder="1" applyAlignment="1">
      <alignment horizontal="center"/>
    </xf>
    <xf numFmtId="4" fontId="21" fillId="0" borderId="48" xfId="0" applyNumberFormat="1" applyFont="1" applyBorder="1" applyAlignment="1">
      <alignment wrapText="1"/>
    </xf>
    <xf numFmtId="4" fontId="32" fillId="0" borderId="48" xfId="0" applyNumberFormat="1" applyFont="1" applyBorder="1" applyAlignment="1">
      <alignment wrapText="1"/>
    </xf>
    <xf numFmtId="0" fontId="21" fillId="0" borderId="48" xfId="0" applyFont="1" applyBorder="1" applyAlignment="1">
      <alignment vertical="center" wrapText="1"/>
    </xf>
    <xf numFmtId="0" fontId="21" fillId="0" borderId="48" xfId="0" applyFont="1" applyBorder="1" applyAlignment="1">
      <alignment horizontal="center" wrapText="1"/>
    </xf>
    <xf numFmtId="0" fontId="21" fillId="0" borderId="48" xfId="0" applyFont="1" applyBorder="1" applyAlignment="1">
      <alignment horizontal="center" vertical="top"/>
    </xf>
    <xf numFmtId="0" fontId="21" fillId="0" borderId="48" xfId="0" applyFont="1" applyBorder="1" applyAlignment="1">
      <alignment vertical="top" wrapText="1"/>
    </xf>
    <xf numFmtId="0" fontId="21" fillId="0" borderId="48" xfId="0" applyFont="1" applyBorder="1" applyAlignment="1">
      <alignment wrapText="1"/>
    </xf>
    <xf numFmtId="0" fontId="34" fillId="0" borderId="48" xfId="0" applyFont="1" applyBorder="1" applyAlignment="1">
      <alignment horizontal="center"/>
    </xf>
    <xf numFmtId="0" fontId="21" fillId="0" borderId="48" xfId="0" applyFont="1" applyBorder="1" applyAlignment="1">
      <alignment horizontal="center" vertical="center"/>
    </xf>
    <xf numFmtId="0" fontId="33" fillId="0" borderId="64" xfId="0" applyFont="1" applyBorder="1"/>
    <xf numFmtId="0" fontId="33" fillId="0" borderId="48" xfId="0" applyFont="1" applyBorder="1"/>
    <xf numFmtId="0" fontId="21" fillId="2" borderId="64" xfId="0" applyFont="1" applyFill="1" applyBorder="1"/>
    <xf numFmtId="0" fontId="21" fillId="2" borderId="48" xfId="0" applyFont="1" applyFill="1" applyBorder="1"/>
    <xf numFmtId="49" fontId="21" fillId="2" borderId="48" xfId="0" applyNumberFormat="1" applyFont="1" applyFill="1" applyBorder="1"/>
    <xf numFmtId="4" fontId="0" fillId="0" borderId="0" xfId="2" applyNumberFormat="1" applyFont="1"/>
    <xf numFmtId="4" fontId="2" fillId="0" borderId="0" xfId="2" applyNumberFormat="1" applyFont="1"/>
    <xf numFmtId="4" fontId="0" fillId="0" borderId="48" xfId="2" applyNumberFormat="1" applyFont="1" applyBorder="1"/>
    <xf numFmtId="4" fontId="2" fillId="0" borderId="48" xfId="2" applyNumberFormat="1" applyFont="1" applyBorder="1"/>
    <xf numFmtId="4" fontId="21" fillId="0" borderId="48" xfId="0" applyNumberFormat="1" applyFont="1" applyBorder="1" applyAlignment="1">
      <alignment vertical="top" wrapText="1"/>
    </xf>
    <xf numFmtId="4" fontId="21" fillId="0" borderId="65" xfId="0" applyNumberFormat="1" applyFont="1" applyBorder="1" applyAlignment="1">
      <alignment wrapText="1"/>
    </xf>
    <xf numFmtId="4" fontId="2" fillId="0" borderId="0" xfId="0" applyNumberFormat="1" applyFont="1"/>
    <xf numFmtId="0" fontId="30" fillId="0" borderId="48" xfId="0" applyFont="1" applyBorder="1"/>
    <xf numFmtId="0" fontId="40" fillId="12" borderId="49" xfId="0" applyFont="1" applyFill="1" applyBorder="1"/>
    <xf numFmtId="0" fontId="41" fillId="0" borderId="49" xfId="0" applyFont="1" applyBorder="1"/>
    <xf numFmtId="44" fontId="30" fillId="0" borderId="0" xfId="0" applyNumberFormat="1" applyFont="1"/>
    <xf numFmtId="44" fontId="0" fillId="2" borderId="0" xfId="0" applyNumberFormat="1" applyFill="1"/>
    <xf numFmtId="0" fontId="0" fillId="0" borderId="6" xfId="0" applyBorder="1"/>
    <xf numFmtId="2" fontId="0" fillId="0" borderId="0" xfId="0" applyNumberFormat="1"/>
    <xf numFmtId="0" fontId="42" fillId="2" borderId="4" xfId="4" applyFont="1" applyFill="1" applyBorder="1" applyAlignment="1">
      <alignment shrinkToFit="1"/>
    </xf>
    <xf numFmtId="0" fontId="42" fillId="2" borderId="5" xfId="4" applyFont="1" applyFill="1" applyBorder="1" applyAlignment="1">
      <alignment shrinkToFit="1"/>
    </xf>
    <xf numFmtId="0" fontId="21" fillId="8" borderId="63" xfId="0" applyFont="1" applyFill="1" applyBorder="1"/>
    <xf numFmtId="0" fontId="21" fillId="8" borderId="64" xfId="0" applyFont="1" applyFill="1" applyBorder="1"/>
    <xf numFmtId="49" fontId="21" fillId="8" borderId="48" xfId="0" applyNumberFormat="1" applyFont="1" applyFill="1" applyBorder="1"/>
    <xf numFmtId="0" fontId="21" fillId="13" borderId="64" xfId="0" applyFont="1" applyFill="1" applyBorder="1"/>
    <xf numFmtId="0" fontId="21" fillId="13" borderId="48" xfId="0" applyFont="1" applyFill="1" applyBorder="1"/>
    <xf numFmtId="4" fontId="33" fillId="13" borderId="48" xfId="0" applyNumberFormat="1" applyFont="1" applyFill="1" applyBorder="1" applyAlignment="1">
      <alignment wrapText="1"/>
    </xf>
    <xf numFmtId="49" fontId="0" fillId="0" borderId="48" xfId="0" applyNumberFormat="1" applyBorder="1"/>
    <xf numFmtId="43" fontId="0" fillId="0" borderId="0" xfId="1" applyFont="1"/>
    <xf numFmtId="49" fontId="33" fillId="8" borderId="48" xfId="0" applyNumberFormat="1" applyFont="1" applyFill="1" applyBorder="1"/>
    <xf numFmtId="49" fontId="33" fillId="8" borderId="48" xfId="0" applyNumberFormat="1" applyFont="1" applyFill="1" applyBorder="1" applyAlignment="1">
      <alignment wrapText="1"/>
    </xf>
    <xf numFmtId="0" fontId="33" fillId="8" borderId="48" xfId="0" applyFont="1" applyFill="1" applyBorder="1" applyAlignment="1">
      <alignment horizontal="center"/>
    </xf>
    <xf numFmtId="0" fontId="33" fillId="8" borderId="48" xfId="0" applyFont="1" applyFill="1" applyBorder="1" applyAlignment="1">
      <alignment wrapText="1"/>
    </xf>
    <xf numFmtId="49" fontId="24" fillId="8" borderId="48" xfId="0" applyNumberFormat="1" applyFont="1" applyFill="1" applyBorder="1"/>
    <xf numFmtId="4" fontId="24" fillId="8" borderId="48" xfId="0" applyNumberFormat="1" applyFont="1" applyFill="1" applyBorder="1" applyAlignment="1">
      <alignment wrapText="1"/>
    </xf>
    <xf numFmtId="49" fontId="33" fillId="14" borderId="48" xfId="0" applyNumberFormat="1" applyFont="1" applyFill="1" applyBorder="1" applyAlignment="1">
      <alignment wrapText="1"/>
    </xf>
    <xf numFmtId="49" fontId="33" fillId="15" borderId="48" xfId="0" applyNumberFormat="1" applyFont="1" applyFill="1" applyBorder="1" applyAlignment="1">
      <alignment wrapText="1"/>
    </xf>
    <xf numFmtId="49" fontId="33" fillId="15" borderId="48" xfId="0" applyNumberFormat="1" applyFont="1" applyFill="1" applyBorder="1"/>
    <xf numFmtId="0" fontId="33" fillId="8" borderId="48" xfId="0" applyFont="1" applyFill="1" applyBorder="1" applyAlignment="1">
      <alignment vertical="center" wrapText="1"/>
    </xf>
    <xf numFmtId="0" fontId="24" fillId="8" borderId="48" xfId="0" applyFont="1" applyFill="1" applyBorder="1" applyAlignment="1">
      <alignment horizontal="center"/>
    </xf>
    <xf numFmtId="0" fontId="0" fillId="0" borderId="50" xfId="0" applyBorder="1"/>
    <xf numFmtId="0" fontId="2" fillId="0" borderId="51" xfId="0" applyFont="1" applyBorder="1" applyAlignment="1">
      <alignment horizontal="center"/>
    </xf>
    <xf numFmtId="0" fontId="0" fillId="0" borderId="52" xfId="0" applyBorder="1" applyAlignment="1">
      <alignment horizontal="right"/>
    </xf>
    <xf numFmtId="4" fontId="43" fillId="5" borderId="52" xfId="2" applyNumberFormat="1" applyFont="1" applyFill="1" applyBorder="1" applyAlignment="1">
      <alignment horizontal="right"/>
    </xf>
    <xf numFmtId="0" fontId="43" fillId="12" borderId="50" xfId="0" applyFont="1" applyFill="1" applyBorder="1"/>
    <xf numFmtId="0" fontId="27" fillId="12" borderId="51" xfId="0" applyFont="1" applyFill="1" applyBorder="1" applyAlignment="1">
      <alignment horizontal="center"/>
    </xf>
    <xf numFmtId="0" fontId="0" fillId="0" borderId="48" xfId="0" applyBorder="1"/>
    <xf numFmtId="0" fontId="2" fillId="7" borderId="50" xfId="0" applyFont="1" applyFill="1" applyBorder="1"/>
    <xf numFmtId="0" fontId="0" fillId="7" borderId="50" xfId="0" applyFill="1" applyBorder="1"/>
    <xf numFmtId="0" fontId="2" fillId="7" borderId="51" xfId="0" applyFont="1" applyFill="1" applyBorder="1"/>
    <xf numFmtId="4" fontId="2" fillId="0" borderId="48" xfId="2" applyNumberFormat="1" applyFont="1" applyBorder="1" applyAlignment="1">
      <alignment horizontal="right"/>
    </xf>
    <xf numFmtId="0" fontId="0" fillId="0" borderId="51" xfId="0" applyBorder="1"/>
    <xf numFmtId="165" fontId="0" fillId="0" borderId="48" xfId="0" applyNumberFormat="1" applyBorder="1"/>
    <xf numFmtId="4" fontId="0" fillId="0" borderId="48" xfId="0" applyNumberFormat="1" applyBorder="1" applyAlignment="1">
      <alignment wrapText="1"/>
    </xf>
    <xf numFmtId="0" fontId="0" fillId="0" borderId="48" xfId="0" applyBorder="1" applyAlignment="1">
      <alignment vertical="center" wrapText="1"/>
    </xf>
    <xf numFmtId="0" fontId="0" fillId="0" borderId="51" xfId="0" applyBorder="1" applyAlignment="1">
      <alignment wrapText="1"/>
    </xf>
    <xf numFmtId="0" fontId="27" fillId="12" borderId="50" xfId="0" applyFont="1" applyFill="1" applyBorder="1"/>
    <xf numFmtId="167" fontId="0" fillId="0" borderId="48" xfId="0" applyNumberFormat="1" applyBorder="1"/>
    <xf numFmtId="0" fontId="0" fillId="0" borderId="48" xfId="0" applyBorder="1" applyAlignment="1">
      <alignment wrapText="1"/>
    </xf>
    <xf numFmtId="0" fontId="0" fillId="0" borderId="50" xfId="0" applyBorder="1" applyAlignment="1">
      <alignment vertical="top"/>
    </xf>
    <xf numFmtId="0" fontId="27" fillId="7" borderId="50" xfId="0" applyFont="1" applyFill="1" applyBorder="1"/>
    <xf numFmtId="0" fontId="2" fillId="7" borderId="51" xfId="0" applyFont="1" applyFill="1" applyBorder="1" applyAlignment="1">
      <alignment horizontal="left"/>
    </xf>
    <xf numFmtId="0" fontId="0" fillId="7" borderId="48" xfId="0" applyFill="1" applyBorder="1"/>
    <xf numFmtId="4" fontId="2" fillId="7" borderId="48" xfId="2" applyNumberFormat="1" applyFont="1" applyFill="1" applyBorder="1"/>
    <xf numFmtId="0" fontId="2" fillId="0" borderId="48" xfId="0" applyFont="1" applyBorder="1"/>
    <xf numFmtId="4" fontId="0" fillId="0" borderId="66" xfId="0" applyNumberFormat="1" applyBorder="1" applyAlignment="1">
      <alignment wrapText="1"/>
    </xf>
    <xf numFmtId="0" fontId="0" fillId="0" borderId="48" xfId="0" applyBorder="1" applyAlignment="1">
      <alignment vertical="top" wrapText="1"/>
    </xf>
    <xf numFmtId="4" fontId="10" fillId="0" borderId="48" xfId="0" applyNumberFormat="1" applyFont="1" applyBorder="1" applyAlignment="1">
      <alignment wrapText="1"/>
    </xf>
    <xf numFmtId="0" fontId="0" fillId="0" borderId="67" xfId="0" applyBorder="1" applyAlignment="1">
      <alignment horizontal="justify" vertical="center" wrapText="1"/>
    </xf>
    <xf numFmtId="0" fontId="44" fillId="7" borderId="0" xfId="0" applyFont="1" applyFill="1" applyAlignment="1">
      <alignment vertical="top"/>
    </xf>
    <xf numFmtId="0" fontId="39" fillId="0" borderId="51" xfId="0" applyFont="1" applyBorder="1" applyAlignment="1">
      <alignment vertical="top"/>
    </xf>
    <xf numFmtId="0" fontId="39" fillId="0" borderId="56" xfId="0" applyFont="1" applyBorder="1" applyAlignment="1">
      <alignment vertical="top"/>
    </xf>
    <xf numFmtId="0" fontId="39" fillId="0" borderId="0" xfId="0" applyFont="1" applyAlignment="1">
      <alignment vertical="top"/>
    </xf>
    <xf numFmtId="0" fontId="22" fillId="0" borderId="0" xfId="0" applyFont="1"/>
    <xf numFmtId="166" fontId="22" fillId="0" borderId="0" xfId="0" applyNumberFormat="1" applyFont="1"/>
    <xf numFmtId="165" fontId="25" fillId="0" borderId="0" xfId="0" applyNumberFormat="1" applyFont="1"/>
    <xf numFmtId="165" fontId="22" fillId="0" borderId="0" xfId="0" applyNumberFormat="1" applyFont="1"/>
    <xf numFmtId="165" fontId="23" fillId="0" borderId="0" xfId="0" applyNumberFormat="1" applyFont="1"/>
    <xf numFmtId="0" fontId="24" fillId="0" borderId="0" xfId="0" applyFont="1"/>
    <xf numFmtId="0" fontId="2" fillId="0" borderId="0" xfId="0" applyFont="1"/>
    <xf numFmtId="0" fontId="31" fillId="0" borderId="48" xfId="8" applyFont="1" applyBorder="1" applyAlignment="1">
      <alignment horizontal="center" vertical="center"/>
    </xf>
    <xf numFmtId="0" fontId="32" fillId="0" borderId="48" xfId="0" applyFont="1" applyBorder="1" applyAlignment="1">
      <alignment vertical="center"/>
    </xf>
    <xf numFmtId="4" fontId="21" fillId="0" borderId="48" xfId="0" applyNumberFormat="1" applyFont="1" applyBorder="1"/>
    <xf numFmtId="0" fontId="31" fillId="0" borderId="0" xfId="8" applyFont="1" applyAlignment="1">
      <alignment horizontal="center" vertical="center"/>
    </xf>
    <xf numFmtId="0" fontId="32" fillId="0" borderId="0" xfId="0" applyFont="1" applyAlignment="1">
      <alignment vertical="center"/>
    </xf>
    <xf numFmtId="49" fontId="24" fillId="7" borderId="48" xfId="1" applyNumberFormat="1" applyFont="1" applyFill="1" applyBorder="1" applyAlignment="1">
      <alignment horizontal="center" vertical="center" wrapText="1"/>
    </xf>
    <xf numFmtId="0" fontId="24" fillId="7" borderId="48" xfId="0" applyFont="1" applyFill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top" wrapText="1"/>
    </xf>
    <xf numFmtId="49" fontId="33" fillId="8" borderId="48" xfId="0" applyNumberFormat="1" applyFont="1" applyFill="1" applyBorder="1" applyAlignment="1">
      <alignment vertical="center"/>
    </xf>
    <xf numFmtId="49" fontId="33" fillId="8" borderId="48" xfId="0" applyNumberFormat="1" applyFont="1" applyFill="1" applyBorder="1" applyAlignment="1">
      <alignment vertical="center" wrapText="1"/>
    </xf>
    <xf numFmtId="0" fontId="33" fillId="8" borderId="48" xfId="0" applyFont="1" applyFill="1" applyBorder="1" applyAlignment="1">
      <alignment horizontal="center" vertical="center"/>
    </xf>
    <xf numFmtId="4" fontId="2" fillId="8" borderId="48" xfId="0" applyNumberFormat="1" applyFont="1" applyFill="1" applyBorder="1" applyAlignment="1">
      <alignment vertical="center"/>
    </xf>
    <xf numFmtId="49" fontId="24" fillId="0" borderId="48" xfId="0" applyNumberFormat="1" applyFont="1" applyBorder="1"/>
    <xf numFmtId="0" fontId="24" fillId="0" borderId="48" xfId="0" applyFont="1" applyBorder="1" applyAlignment="1">
      <alignment horizontal="center"/>
    </xf>
    <xf numFmtId="4" fontId="24" fillId="0" borderId="48" xfId="0" applyNumberFormat="1" applyFont="1" applyBorder="1" applyAlignment="1">
      <alignment wrapText="1"/>
    </xf>
    <xf numFmtId="4" fontId="2" fillId="0" borderId="48" xfId="0" applyNumberFormat="1" applyFont="1" applyBorder="1"/>
    <xf numFmtId="4" fontId="2" fillId="8" borderId="48" xfId="0" applyNumberFormat="1" applyFont="1" applyFill="1" applyBorder="1"/>
    <xf numFmtId="0" fontId="33" fillId="8" borderId="48" xfId="0" applyFont="1" applyFill="1" applyBorder="1" applyAlignment="1">
      <alignment horizontal="center" vertical="center" wrapText="1"/>
    </xf>
    <xf numFmtId="49" fontId="24" fillId="15" borderId="48" xfId="0" applyNumberFormat="1" applyFont="1" applyFill="1" applyBorder="1"/>
    <xf numFmtId="49" fontId="24" fillId="13" borderId="48" xfId="0" applyNumberFormat="1" applyFont="1" applyFill="1" applyBorder="1"/>
    <xf numFmtId="0" fontId="24" fillId="13" borderId="48" xfId="0" applyFont="1" applyFill="1" applyBorder="1" applyAlignment="1">
      <alignment horizontal="center"/>
    </xf>
    <xf numFmtId="4" fontId="24" fillId="13" borderId="48" xfId="7" applyNumberFormat="1" applyFont="1" applyFill="1" applyBorder="1" applyAlignment="1">
      <alignment horizontal="right"/>
    </xf>
    <xf numFmtId="4" fontId="31" fillId="8" borderId="48" xfId="7" applyNumberFormat="1" applyFont="1" applyFill="1" applyBorder="1" applyAlignment="1">
      <alignment horizontal="right"/>
    </xf>
    <xf numFmtId="0" fontId="24" fillId="8" borderId="52" xfId="0" applyFont="1" applyFill="1" applyBorder="1"/>
    <xf numFmtId="49" fontId="24" fillId="8" borderId="52" xfId="0" applyNumberFormat="1" applyFont="1" applyFill="1" applyBorder="1"/>
    <xf numFmtId="0" fontId="24" fillId="8" borderId="52" xfId="0" applyFont="1" applyFill="1" applyBorder="1" applyAlignment="1">
      <alignment horizontal="center"/>
    </xf>
    <xf numFmtId="0" fontId="24" fillId="8" borderId="52" xfId="0" applyFont="1" applyFill="1" applyBorder="1" applyAlignment="1">
      <alignment wrapText="1"/>
    </xf>
    <xf numFmtId="4" fontId="31" fillId="8" borderId="52" xfId="7" applyNumberFormat="1" applyFont="1" applyFill="1" applyBorder="1" applyAlignment="1">
      <alignment horizontal="right"/>
    </xf>
    <xf numFmtId="0" fontId="24" fillId="8" borderId="48" xfId="0" applyFont="1" applyFill="1" applyBorder="1"/>
    <xf numFmtId="0" fontId="24" fillId="8" borderId="48" xfId="0" applyFont="1" applyFill="1" applyBorder="1" applyAlignment="1">
      <alignment wrapText="1"/>
    </xf>
    <xf numFmtId="0" fontId="48" fillId="16" borderId="48" xfId="0" applyFont="1" applyFill="1" applyBorder="1"/>
    <xf numFmtId="49" fontId="41" fillId="16" borderId="48" xfId="0" applyNumberFormat="1" applyFont="1" applyFill="1" applyBorder="1"/>
    <xf numFmtId="0" fontId="41" fillId="16" borderId="48" xfId="0" applyFont="1" applyFill="1" applyBorder="1" applyAlignment="1">
      <alignment horizontal="center"/>
    </xf>
    <xf numFmtId="0" fontId="47" fillId="16" borderId="52" xfId="0" applyFont="1" applyFill="1" applyBorder="1" applyAlignment="1">
      <alignment wrapText="1"/>
    </xf>
    <xf numFmtId="4" fontId="41" fillId="16" borderId="48" xfId="7" applyNumberFormat="1" applyFont="1" applyFill="1" applyBorder="1" applyAlignment="1">
      <alignment horizontal="right"/>
    </xf>
    <xf numFmtId="0" fontId="47" fillId="16" borderId="48" xfId="0" applyFont="1" applyFill="1" applyBorder="1"/>
    <xf numFmtId="49" fontId="47" fillId="16" borderId="48" xfId="0" applyNumberFormat="1" applyFont="1" applyFill="1" applyBorder="1"/>
    <xf numFmtId="0" fontId="47" fillId="16" borderId="48" xfId="0" applyFont="1" applyFill="1" applyBorder="1" applyAlignment="1">
      <alignment horizontal="center"/>
    </xf>
    <xf numFmtId="0" fontId="47" fillId="16" borderId="48" xfId="0" applyFont="1" applyFill="1" applyBorder="1" applyAlignment="1">
      <alignment wrapText="1"/>
    </xf>
    <xf numFmtId="4" fontId="27" fillId="16" borderId="48" xfId="0" applyNumberFormat="1" applyFont="1" applyFill="1" applyBorder="1"/>
    <xf numFmtId="4" fontId="47" fillId="16" borderId="48" xfId="0" applyNumberFormat="1" applyFont="1" applyFill="1" applyBorder="1" applyAlignment="1">
      <alignment wrapText="1"/>
    </xf>
    <xf numFmtId="49" fontId="47" fillId="16" borderId="48" xfId="0" applyNumberFormat="1" applyFont="1" applyFill="1" applyBorder="1" applyAlignment="1">
      <alignment wrapText="1"/>
    </xf>
    <xf numFmtId="0" fontId="47" fillId="16" borderId="48" xfId="0" applyFont="1" applyFill="1" applyBorder="1" applyAlignment="1">
      <alignment horizontal="center" wrapText="1"/>
    </xf>
    <xf numFmtId="4" fontId="49" fillId="17" borderId="48" xfId="7" applyNumberFormat="1" applyFont="1" applyFill="1" applyBorder="1" applyAlignment="1">
      <alignment horizontal="right"/>
    </xf>
    <xf numFmtId="0" fontId="41" fillId="0" borderId="0" xfId="0" applyFont="1" applyAlignment="1">
      <alignment horizontal="center"/>
    </xf>
    <xf numFmtId="4" fontId="49" fillId="18" borderId="48" xfId="7" applyNumberFormat="1" applyFont="1" applyFill="1" applyBorder="1" applyAlignment="1">
      <alignment horizontal="right"/>
    </xf>
    <xf numFmtId="0" fontId="21" fillId="0" borderId="64" xfId="0" applyFont="1" applyBorder="1" applyAlignment="1">
      <alignment vertical="center"/>
    </xf>
    <xf numFmtId="0" fontId="21" fillId="0" borderId="48" xfId="0" applyFont="1" applyBorder="1" applyAlignment="1">
      <alignment vertical="center"/>
    </xf>
    <xf numFmtId="49" fontId="21" fillId="0" borderId="48" xfId="0" applyNumberFormat="1" applyFont="1" applyBorder="1" applyAlignment="1">
      <alignment vertical="center"/>
    </xf>
    <xf numFmtId="0" fontId="21" fillId="0" borderId="0" xfId="0" applyFont="1" applyAlignment="1">
      <alignment horizontal="center" wrapText="1"/>
    </xf>
    <xf numFmtId="4" fontId="21" fillId="0" borderId="48" xfId="0" applyNumberFormat="1" applyFont="1" applyBorder="1" applyAlignment="1">
      <alignment vertical="center" wrapText="1"/>
    </xf>
    <xf numFmtId="4" fontId="0" fillId="0" borderId="48" xfId="0" applyNumberFormat="1" applyBorder="1" applyAlignment="1">
      <alignment vertical="center"/>
    </xf>
    <xf numFmtId="4" fontId="50" fillId="0" borderId="0" xfId="7" applyNumberFormat="1" applyFont="1" applyFill="1" applyBorder="1" applyAlignment="1">
      <alignment horizontal="right"/>
    </xf>
    <xf numFmtId="49" fontId="24" fillId="0" borderId="48" xfId="0" applyNumberFormat="1" applyFont="1" applyBorder="1" applyAlignment="1">
      <alignment vertical="center"/>
    </xf>
    <xf numFmtId="0" fontId="24" fillId="0" borderId="48" xfId="0" applyFont="1" applyBorder="1" applyAlignment="1">
      <alignment horizontal="center" vertical="center"/>
    </xf>
    <xf numFmtId="0" fontId="24" fillId="0" borderId="64" xfId="0" applyFont="1" applyBorder="1" applyAlignment="1">
      <alignment vertical="center"/>
    </xf>
    <xf numFmtId="0" fontId="24" fillId="0" borderId="48" xfId="0" applyFont="1" applyBorder="1" applyAlignment="1">
      <alignment vertical="center"/>
    </xf>
    <xf numFmtId="4" fontId="2" fillId="0" borderId="48" xfId="0" applyNumberFormat="1" applyFont="1" applyBorder="1" applyAlignment="1">
      <alignment vertical="center"/>
    </xf>
    <xf numFmtId="0" fontId="24" fillId="0" borderId="48" xfId="0" applyFont="1" applyBorder="1" applyAlignment="1">
      <alignment horizontal="center" vertical="top"/>
    </xf>
    <xf numFmtId="0" fontId="24" fillId="2" borderId="48" xfId="0" applyFont="1" applyFill="1" applyBorder="1" applyAlignment="1">
      <alignment horizontal="center"/>
    </xf>
    <xf numFmtId="4" fontId="21" fillId="0" borderId="48" xfId="0" applyNumberFormat="1" applyFont="1" applyBorder="1" applyAlignment="1">
      <alignment horizontal="left" vertical="center" wrapText="1"/>
    </xf>
    <xf numFmtId="49" fontId="21" fillId="2" borderId="48" xfId="0" applyNumberFormat="1" applyFont="1" applyFill="1" applyBorder="1" applyAlignment="1">
      <alignment vertical="center"/>
    </xf>
    <xf numFmtId="4" fontId="24" fillId="0" borderId="48" xfId="0" applyNumberFormat="1" applyFont="1" applyBorder="1" applyAlignment="1">
      <alignment vertical="center" wrapText="1"/>
    </xf>
    <xf numFmtId="0" fontId="32" fillId="0" borderId="64" xfId="0" applyFont="1" applyBorder="1" applyAlignment="1">
      <alignment vertical="center"/>
    </xf>
    <xf numFmtId="49" fontId="32" fillId="0" borderId="48" xfId="0" applyNumberFormat="1" applyFont="1" applyBorder="1" applyAlignment="1">
      <alignment vertical="center"/>
    </xf>
    <xf numFmtId="4" fontId="32" fillId="0" borderId="48" xfId="0" applyNumberFormat="1" applyFont="1" applyBorder="1" applyAlignment="1">
      <alignment vertical="center" wrapText="1"/>
    </xf>
    <xf numFmtId="0" fontId="24" fillId="8" borderId="64" xfId="0" applyFont="1" applyFill="1" applyBorder="1"/>
    <xf numFmtId="0" fontId="24" fillId="19" borderId="48" xfId="0" applyFont="1" applyFill="1" applyBorder="1" applyAlignment="1">
      <alignment horizontal="center" vertical="center" wrapText="1"/>
    </xf>
    <xf numFmtId="4" fontId="2" fillId="19" borderId="48" xfId="0" applyNumberFormat="1" applyFont="1" applyFill="1" applyBorder="1" applyAlignment="1">
      <alignment horizontal="center" vertical="center" wrapText="1"/>
    </xf>
    <xf numFmtId="4" fontId="11" fillId="0" borderId="35" xfId="6" quotePrefix="1" applyNumberFormat="1" applyFont="1" applyBorder="1" applyAlignment="1">
      <alignment shrinkToFit="1"/>
    </xf>
    <xf numFmtId="0" fontId="42" fillId="2" borderId="72" xfId="4" applyFont="1" applyFill="1" applyBorder="1" applyAlignment="1">
      <alignment shrinkToFit="1"/>
    </xf>
    <xf numFmtId="0" fontId="42" fillId="0" borderId="72" xfId="4" applyFont="1" applyBorder="1" applyAlignment="1">
      <alignment shrinkToFit="1"/>
    </xf>
    <xf numFmtId="0" fontId="42" fillId="0" borderId="74" xfId="4" applyFont="1" applyBorder="1" applyAlignment="1">
      <alignment shrinkToFit="1"/>
    </xf>
    <xf numFmtId="44" fontId="0" fillId="2" borderId="72" xfId="0" applyNumberFormat="1" applyFill="1" applyBorder="1"/>
    <xf numFmtId="44" fontId="0" fillId="2" borderId="74" xfId="0" applyNumberFormat="1" applyFill="1" applyBorder="1"/>
    <xf numFmtId="43" fontId="0" fillId="2" borderId="72" xfId="0" applyNumberFormat="1" applyFill="1" applyBorder="1"/>
    <xf numFmtId="0" fontId="42" fillId="2" borderId="71" xfId="4" applyFont="1" applyFill="1" applyBorder="1" applyAlignment="1">
      <alignment shrinkToFit="1"/>
    </xf>
    <xf numFmtId="0" fontId="42" fillId="2" borderId="75" xfId="4" applyFont="1" applyFill="1" applyBorder="1" applyAlignment="1">
      <alignment shrinkToFit="1"/>
    </xf>
    <xf numFmtId="44" fontId="0" fillId="2" borderId="75" xfId="0" applyNumberFormat="1" applyFill="1" applyBorder="1"/>
    <xf numFmtId="0" fontId="42" fillId="0" borderId="75" xfId="4" applyFont="1" applyBorder="1" applyAlignment="1">
      <alignment shrinkToFit="1"/>
    </xf>
    <xf numFmtId="43" fontId="0" fillId="0" borderId="72" xfId="0" applyNumberFormat="1" applyBorder="1"/>
    <xf numFmtId="44" fontId="0" fillId="0" borderId="72" xfId="0" applyNumberFormat="1" applyBorder="1"/>
    <xf numFmtId="44" fontId="0" fillId="0" borderId="5" xfId="0" applyNumberFormat="1" applyBorder="1"/>
    <xf numFmtId="0" fontId="1" fillId="0" borderId="5" xfId="0" applyFont="1" applyBorder="1"/>
    <xf numFmtId="0" fontId="0" fillId="0" borderId="5" xfId="0" applyBorder="1"/>
    <xf numFmtId="0" fontId="42" fillId="2" borderId="77" xfId="4" applyFont="1" applyFill="1" applyBorder="1" applyAlignment="1">
      <alignment shrinkToFit="1"/>
    </xf>
    <xf numFmtId="0" fontId="1" fillId="0" borderId="76" xfId="0" applyFont="1" applyBorder="1"/>
    <xf numFmtId="44" fontId="0" fillId="0" borderId="71" xfId="0" applyNumberFormat="1" applyBorder="1"/>
    <xf numFmtId="44" fontId="0" fillId="2" borderId="78" xfId="0" applyNumberFormat="1" applyFill="1" applyBorder="1"/>
    <xf numFmtId="44" fontId="0" fillId="2" borderId="79" xfId="0" applyNumberFormat="1" applyFill="1" applyBorder="1"/>
    <xf numFmtId="0" fontId="42" fillId="2" borderId="80" xfId="4" applyFont="1" applyFill="1" applyBorder="1" applyAlignment="1">
      <alignment shrinkToFit="1"/>
    </xf>
    <xf numFmtId="0" fontId="42" fillId="2" borderId="81" xfId="4" applyFont="1" applyFill="1" applyBorder="1" applyAlignment="1">
      <alignment shrinkToFit="1"/>
    </xf>
    <xf numFmtId="4" fontId="0" fillId="0" borderId="51" xfId="0" applyNumberFormat="1" applyBorder="1"/>
    <xf numFmtId="0" fontId="14" fillId="0" borderId="5" xfId="4" applyFont="1" applyBorder="1" applyAlignment="1">
      <alignment shrinkToFit="1"/>
    </xf>
    <xf numFmtId="49" fontId="51" fillId="8" borderId="48" xfId="0" applyNumberFormat="1" applyFont="1" applyFill="1" applyBorder="1" applyAlignment="1">
      <alignment vertical="center" wrapText="1"/>
    </xf>
    <xf numFmtId="10" fontId="0" fillId="0" borderId="0" xfId="0" applyNumberFormat="1"/>
    <xf numFmtId="0" fontId="21" fillId="0" borderId="0" xfId="0" applyFont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4" fontId="0" fillId="0" borderId="48" xfId="2" applyNumberFormat="1" applyFont="1" applyFill="1" applyBorder="1"/>
    <xf numFmtId="4" fontId="11" fillId="0" borderId="34" xfId="6" applyNumberFormat="1" applyFont="1" applyFill="1" applyBorder="1" applyAlignment="1">
      <alignment shrinkToFit="1"/>
    </xf>
    <xf numFmtId="0" fontId="52" fillId="0" borderId="53" xfId="0" applyFont="1" applyBorder="1" applyAlignment="1">
      <alignment horizontal="center" vertical="center"/>
    </xf>
    <xf numFmtId="4" fontId="33" fillId="0" borderId="55" xfId="0" applyNumberFormat="1" applyFont="1" applyBorder="1"/>
    <xf numFmtId="0" fontId="21" fillId="0" borderId="51" xfId="0" applyFont="1" applyBorder="1" applyAlignment="1">
      <alignment vertical="center"/>
    </xf>
    <xf numFmtId="1" fontId="0" fillId="0" borderId="48" xfId="1" applyNumberFormat="1" applyFont="1" applyBorder="1" applyAlignment="1">
      <alignment horizontal="center" wrapText="1"/>
    </xf>
    <xf numFmtId="0" fontId="45" fillId="21" borderId="48" xfId="0" applyFont="1" applyFill="1" applyBorder="1" applyAlignment="1">
      <alignment horizontal="center" vertical="center"/>
    </xf>
    <xf numFmtId="0" fontId="45" fillId="21" borderId="48" xfId="0" applyFont="1" applyFill="1" applyBorder="1" applyAlignment="1">
      <alignment vertical="center"/>
    </xf>
    <xf numFmtId="4" fontId="21" fillId="21" borderId="48" xfId="0" applyNumberFormat="1" applyFont="1" applyFill="1" applyBorder="1"/>
    <xf numFmtId="0" fontId="31" fillId="8" borderId="48" xfId="8" applyFont="1" applyFill="1" applyBorder="1" applyAlignment="1">
      <alignment horizontal="center" vertical="center"/>
    </xf>
    <xf numFmtId="0" fontId="32" fillId="8" borderId="48" xfId="0" applyFont="1" applyFill="1" applyBorder="1" applyAlignment="1">
      <alignment vertical="center"/>
    </xf>
    <xf numFmtId="4" fontId="21" fillId="8" borderId="48" xfId="0" applyNumberFormat="1" applyFont="1" applyFill="1" applyBorder="1"/>
    <xf numFmtId="0" fontId="31" fillId="6" borderId="48" xfId="8" applyFont="1" applyFill="1" applyBorder="1" applyAlignment="1">
      <alignment horizontal="center" vertical="center"/>
    </xf>
    <xf numFmtId="0" fontId="32" fillId="6" borderId="48" xfId="0" applyFont="1" applyFill="1" applyBorder="1" applyAlignment="1">
      <alignment vertical="center"/>
    </xf>
    <xf numFmtId="4" fontId="21" fillId="6" borderId="48" xfId="0" applyNumberFormat="1" applyFont="1" applyFill="1" applyBorder="1"/>
    <xf numFmtId="0" fontId="53" fillId="0" borderId="48" xfId="0" applyFont="1" applyBorder="1" applyAlignment="1">
      <alignment vertical="center" wrapText="1"/>
    </xf>
    <xf numFmtId="0" fontId="42" fillId="0" borderId="5" xfId="4" applyFont="1" applyBorder="1" applyAlignment="1">
      <alignment shrinkToFit="1"/>
    </xf>
    <xf numFmtId="0" fontId="42" fillId="0" borderId="4" xfId="4" applyFont="1" applyBorder="1" applyAlignment="1">
      <alignment shrinkToFit="1"/>
    </xf>
    <xf numFmtId="0" fontId="52" fillId="0" borderId="0" xfId="0" applyFont="1" applyAlignment="1">
      <alignment horizontal="center" vertical="center"/>
    </xf>
    <xf numFmtId="4" fontId="33" fillId="0" borderId="0" xfId="0" applyNumberFormat="1" applyFont="1"/>
    <xf numFmtId="0" fontId="11" fillId="0" borderId="30" xfId="5" applyFont="1" applyBorder="1" applyAlignment="1">
      <alignment horizontal="left" shrinkToFit="1"/>
    </xf>
    <xf numFmtId="0" fontId="38" fillId="0" borderId="32" xfId="5" applyFont="1" applyBorder="1" applyAlignment="1">
      <alignment shrinkToFit="1"/>
    </xf>
    <xf numFmtId="4" fontId="11" fillId="0" borderId="35" xfId="6" applyNumberFormat="1" applyFont="1" applyFill="1" applyBorder="1" applyAlignment="1">
      <alignment shrinkToFit="1"/>
    </xf>
    <xf numFmtId="4" fontId="11" fillId="0" borderId="36" xfId="6" applyNumberFormat="1" applyFont="1" applyFill="1" applyBorder="1" applyAlignment="1">
      <alignment shrinkToFit="1"/>
    </xf>
    <xf numFmtId="4" fontId="11" fillId="0" borderId="33" xfId="6" applyNumberFormat="1" applyFont="1" applyFill="1" applyBorder="1" applyAlignment="1">
      <alignment shrinkToFit="1"/>
    </xf>
    <xf numFmtId="4" fontId="11" fillId="0" borderId="41" xfId="6" applyNumberFormat="1" applyFont="1" applyFill="1" applyBorder="1" applyAlignment="1">
      <alignment shrinkToFit="1"/>
    </xf>
    <xf numFmtId="4" fontId="11" fillId="0" borderId="37" xfId="6" applyNumberFormat="1" applyFont="1" applyFill="1" applyBorder="1" applyAlignment="1">
      <alignment shrinkToFit="1"/>
    </xf>
    <xf numFmtId="4" fontId="11" fillId="0" borderId="42" xfId="6" applyNumberFormat="1" applyFont="1" applyFill="1" applyBorder="1" applyAlignment="1">
      <alignment shrinkToFit="1"/>
    </xf>
    <xf numFmtId="4" fontId="11" fillId="0" borderId="45" xfId="6" applyNumberFormat="1" applyFont="1" applyFill="1" applyBorder="1" applyAlignment="1">
      <alignment shrinkToFit="1"/>
    </xf>
    <xf numFmtId="4" fontId="11" fillId="0" borderId="46" xfId="6" applyNumberFormat="1" applyFont="1" applyFill="1" applyBorder="1" applyAlignment="1">
      <alignment shrinkToFit="1"/>
    </xf>
    <xf numFmtId="4" fontId="11" fillId="0" borderId="43" xfId="6" applyNumberFormat="1" applyFont="1" applyFill="1" applyBorder="1" applyAlignment="1">
      <alignment shrinkToFit="1"/>
    </xf>
    <xf numFmtId="4" fontId="11" fillId="0" borderId="28" xfId="6" applyNumberFormat="1" applyFont="1" applyFill="1" applyBorder="1" applyAlignment="1">
      <alignment shrinkToFit="1"/>
    </xf>
    <xf numFmtId="4" fontId="11" fillId="0" borderId="38" xfId="6" applyNumberFormat="1" applyFont="1" applyFill="1" applyBorder="1" applyAlignment="1">
      <alignment shrinkToFit="1"/>
    </xf>
    <xf numFmtId="4" fontId="11" fillId="0" borderId="27" xfId="6" applyNumberFormat="1" applyFont="1" applyFill="1" applyBorder="1" applyAlignment="1">
      <alignment shrinkToFit="1"/>
    </xf>
    <xf numFmtId="4" fontId="11" fillId="0" borderId="0" xfId="6" applyNumberFormat="1" applyFont="1" applyBorder="1" applyAlignment="1">
      <alignment shrinkToFit="1"/>
    </xf>
    <xf numFmtId="4" fontId="2" fillId="19" borderId="48" xfId="0" applyNumberFormat="1" applyFont="1" applyFill="1" applyBorder="1" applyAlignment="1">
      <alignment horizontal="center" vertical="center"/>
    </xf>
    <xf numFmtId="0" fontId="9" fillId="0" borderId="82" xfId="4" applyFont="1" applyBorder="1" applyAlignment="1">
      <alignment shrinkToFit="1"/>
    </xf>
    <xf numFmtId="44" fontId="0" fillId="2" borderId="83" xfId="0" applyNumberFormat="1" applyFill="1" applyBorder="1"/>
    <xf numFmtId="0" fontId="9" fillId="2" borderId="84" xfId="4" applyFont="1" applyFill="1" applyBorder="1" applyAlignment="1">
      <alignment shrinkToFit="1"/>
    </xf>
    <xf numFmtId="0" fontId="9" fillId="0" borderId="39" xfId="4" applyFont="1" applyBorder="1" applyAlignment="1">
      <alignment shrinkToFit="1"/>
    </xf>
    <xf numFmtId="43" fontId="0" fillId="2" borderId="7" xfId="0" applyNumberFormat="1" applyFill="1" applyBorder="1"/>
    <xf numFmtId="44" fontId="0" fillId="0" borderId="85" xfId="0" applyNumberFormat="1" applyBorder="1"/>
    <xf numFmtId="0" fontId="9" fillId="2" borderId="86" xfId="4" applyFont="1" applyFill="1" applyBorder="1" applyAlignment="1">
      <alignment shrinkToFit="1"/>
    </xf>
    <xf numFmtId="0" fontId="1" fillId="0" borderId="89" xfId="0" applyFont="1" applyBorder="1"/>
    <xf numFmtId="44" fontId="0" fillId="2" borderId="87" xfId="0" applyNumberFormat="1" applyFill="1" applyBorder="1"/>
    <xf numFmtId="44" fontId="0" fillId="0" borderId="23" xfId="2" applyFont="1" applyFill="1" applyBorder="1"/>
    <xf numFmtId="44" fontId="0" fillId="0" borderId="5" xfId="2" applyFont="1" applyFill="1" applyBorder="1"/>
    <xf numFmtId="44" fontId="0" fillId="2" borderId="71" xfId="0" applyNumberFormat="1" applyFill="1" applyBorder="1"/>
    <xf numFmtId="44" fontId="0" fillId="0" borderId="33" xfId="0" applyNumberFormat="1" applyBorder="1"/>
    <xf numFmtId="44" fontId="0" fillId="0" borderId="42" xfId="0" applyNumberFormat="1" applyBorder="1"/>
    <xf numFmtId="44" fontId="0" fillId="0" borderId="4" xfId="0" applyNumberFormat="1" applyBorder="1"/>
    <xf numFmtId="0" fontId="9" fillId="0" borderId="27" xfId="4" applyFont="1" applyBorder="1" applyAlignment="1">
      <alignment shrinkToFit="1"/>
    </xf>
    <xf numFmtId="44" fontId="0" fillId="0" borderId="91" xfId="0" applyNumberFormat="1" applyBorder="1"/>
    <xf numFmtId="0" fontId="42" fillId="0" borderId="92" xfId="4" applyFont="1" applyBorder="1" applyAlignment="1">
      <alignment shrinkToFit="1"/>
    </xf>
    <xf numFmtId="44" fontId="0" fillId="0" borderId="87" xfId="0" applyNumberFormat="1" applyBorder="1"/>
    <xf numFmtId="0" fontId="9" fillId="0" borderId="93" xfId="4" applyFont="1" applyBorder="1" applyAlignment="1">
      <alignment shrinkToFit="1"/>
    </xf>
    <xf numFmtId="44" fontId="0" fillId="0" borderId="94" xfId="2" applyFont="1" applyFill="1" applyBorder="1"/>
    <xf numFmtId="0" fontId="9" fillId="2" borderId="96" xfId="4" applyFont="1" applyFill="1" applyBorder="1" applyAlignment="1">
      <alignment shrinkToFit="1"/>
    </xf>
    <xf numFmtId="44" fontId="0" fillId="2" borderId="97" xfId="0" applyNumberFormat="1" applyFill="1" applyBorder="1"/>
    <xf numFmtId="0" fontId="9" fillId="2" borderId="98" xfId="4" applyFont="1" applyFill="1" applyBorder="1" applyAlignment="1">
      <alignment shrinkToFit="1"/>
    </xf>
    <xf numFmtId="44" fontId="0" fillId="2" borderId="99" xfId="0" applyNumberFormat="1" applyFill="1" applyBorder="1"/>
    <xf numFmtId="0" fontId="9" fillId="2" borderId="100" xfId="4" applyFont="1" applyFill="1" applyBorder="1" applyAlignment="1">
      <alignment shrinkToFit="1"/>
    </xf>
    <xf numFmtId="0" fontId="9" fillId="2" borderId="39" xfId="4" applyFont="1" applyFill="1" applyBorder="1" applyAlignment="1">
      <alignment shrinkToFit="1"/>
    </xf>
    <xf numFmtId="44" fontId="0" fillId="2" borderId="85" xfId="0" applyNumberFormat="1" applyFill="1" applyBorder="1"/>
    <xf numFmtId="44" fontId="0" fillId="2" borderId="101" xfId="0" applyNumberFormat="1" applyFill="1" applyBorder="1"/>
    <xf numFmtId="0" fontId="9" fillId="2" borderId="102" xfId="4" applyFont="1" applyFill="1" applyBorder="1" applyAlignment="1">
      <alignment shrinkToFit="1"/>
    </xf>
    <xf numFmtId="44" fontId="0" fillId="2" borderId="103" xfId="0" applyNumberFormat="1" applyFill="1" applyBorder="1"/>
    <xf numFmtId="0" fontId="9" fillId="2" borderId="104" xfId="4" applyFont="1" applyFill="1" applyBorder="1" applyAlignment="1">
      <alignment shrinkToFit="1"/>
    </xf>
    <xf numFmtId="44" fontId="0" fillId="2" borderId="105" xfId="0" applyNumberFormat="1" applyFill="1" applyBorder="1"/>
    <xf numFmtId="0" fontId="9" fillId="2" borderId="27" xfId="4" applyFont="1" applyFill="1" applyBorder="1" applyAlignment="1">
      <alignment shrinkToFit="1"/>
    </xf>
    <xf numFmtId="44" fontId="0" fillId="2" borderId="21" xfId="0" applyNumberFormat="1" applyFill="1" applyBorder="1"/>
    <xf numFmtId="0" fontId="9" fillId="2" borderId="36" xfId="4" applyFont="1" applyFill="1" applyBorder="1" applyAlignment="1">
      <alignment shrinkToFit="1"/>
    </xf>
    <xf numFmtId="0" fontId="9" fillId="2" borderId="106" xfId="4" applyFont="1" applyFill="1" applyBorder="1" applyAlignment="1">
      <alignment shrinkToFit="1"/>
    </xf>
    <xf numFmtId="0" fontId="9" fillId="2" borderId="107" xfId="4" applyFont="1" applyFill="1" applyBorder="1" applyAlignment="1">
      <alignment shrinkToFit="1"/>
    </xf>
    <xf numFmtId="0" fontId="9" fillId="0" borderId="102" xfId="4" applyFont="1" applyBorder="1" applyAlignment="1">
      <alignment shrinkToFit="1"/>
    </xf>
    <xf numFmtId="0" fontId="9" fillId="0" borderId="108" xfId="4" applyFont="1" applyBorder="1" applyAlignment="1">
      <alignment shrinkToFit="1"/>
    </xf>
    <xf numFmtId="44" fontId="0" fillId="2" borderId="109" xfId="0" applyNumberFormat="1" applyFill="1" applyBorder="1"/>
    <xf numFmtId="0" fontId="9" fillId="0" borderId="96" xfId="4" applyFont="1" applyBorder="1" applyAlignment="1">
      <alignment shrinkToFit="1"/>
    </xf>
    <xf numFmtId="0" fontId="9" fillId="0" borderId="84" xfId="4" applyFont="1" applyBorder="1" applyAlignment="1">
      <alignment shrinkToFit="1"/>
    </xf>
    <xf numFmtId="0" fontId="0" fillId="0" borderId="98" xfId="0" applyBorder="1"/>
    <xf numFmtId="0" fontId="42" fillId="0" borderId="90" xfId="4" applyFont="1" applyBorder="1" applyAlignment="1">
      <alignment shrinkToFit="1"/>
    </xf>
    <xf numFmtId="0" fontId="42" fillId="0" borderId="88" xfId="4" applyFont="1" applyBorder="1" applyAlignment="1">
      <alignment shrinkToFit="1"/>
    </xf>
    <xf numFmtId="0" fontId="0" fillId="0" borderId="72" xfId="0" applyBorder="1"/>
    <xf numFmtId="44" fontId="10" fillId="0" borderId="3" xfId="4" applyNumberFormat="1" applyFont="1" applyBorder="1" applyAlignment="1">
      <alignment shrinkToFit="1"/>
    </xf>
    <xf numFmtId="44" fontId="10" fillId="0" borderId="6" xfId="4" applyNumberFormat="1" applyFont="1" applyBorder="1" applyAlignment="1">
      <alignment shrinkToFit="1"/>
    </xf>
    <xf numFmtId="44" fontId="0" fillId="0" borderId="70" xfId="0" applyNumberFormat="1" applyBorder="1"/>
    <xf numFmtId="44" fontId="0" fillId="0" borderId="73" xfId="0" applyNumberFormat="1" applyBorder="1"/>
    <xf numFmtId="0" fontId="0" fillId="0" borderId="21" xfId="0" applyBorder="1"/>
    <xf numFmtId="0" fontId="1" fillId="0" borderId="0" xfId="0" applyFont="1"/>
    <xf numFmtId="0" fontId="42" fillId="0" borderId="0" xfId="4" applyFont="1" applyAlignment="1">
      <alignment shrinkToFit="1"/>
    </xf>
    <xf numFmtId="1" fontId="31" fillId="0" borderId="48" xfId="8" applyNumberFormat="1" applyFont="1" applyBorder="1" applyAlignment="1">
      <alignment horizontal="center" vertical="center"/>
    </xf>
    <xf numFmtId="9" fontId="0" fillId="0" borderId="0" xfId="3" applyFont="1"/>
    <xf numFmtId="4" fontId="2" fillId="19" borderId="51" xfId="0" applyNumberFormat="1" applyFont="1" applyFill="1" applyBorder="1" applyAlignment="1">
      <alignment horizontal="center" vertical="center" wrapText="1"/>
    </xf>
    <xf numFmtId="4" fontId="21" fillId="21" borderId="51" xfId="0" applyNumberFormat="1" applyFont="1" applyFill="1" applyBorder="1"/>
    <xf numFmtId="4" fontId="21" fillId="6" borderId="51" xfId="0" applyNumberFormat="1" applyFont="1" applyFill="1" applyBorder="1"/>
    <xf numFmtId="4" fontId="21" fillId="8" borderId="51" xfId="0" applyNumberFormat="1" applyFont="1" applyFill="1" applyBorder="1"/>
    <xf numFmtId="4" fontId="21" fillId="0" borderId="51" xfId="0" applyNumberFormat="1" applyFont="1" applyBorder="1"/>
    <xf numFmtId="4" fontId="2" fillId="0" borderId="0" xfId="0" applyNumberFormat="1" applyFont="1" applyAlignment="1">
      <alignment horizontal="center" vertical="center" wrapText="1"/>
    </xf>
    <xf numFmtId="4" fontId="33" fillId="0" borderId="1" xfId="0" applyNumberFormat="1" applyFont="1" applyBorder="1"/>
    <xf numFmtId="0" fontId="46" fillId="1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6" fillId="2" borderId="0" xfId="4" applyFont="1" applyFill="1" applyAlignment="1">
      <alignment horizontal="center" shrinkToFit="1"/>
    </xf>
    <xf numFmtId="0" fontId="8" fillId="4" borderId="82" xfId="4" applyFont="1" applyFill="1" applyBorder="1" applyAlignment="1">
      <alignment horizontal="center" shrinkToFit="1"/>
    </xf>
    <xf numFmtId="0" fontId="8" fillId="4" borderId="2" xfId="4" applyFont="1" applyFill="1" applyBorder="1" applyAlignment="1">
      <alignment horizontal="center" shrinkToFit="1"/>
    </xf>
    <xf numFmtId="0" fontId="8" fillId="4" borderId="95" xfId="4" applyFont="1" applyFill="1" applyBorder="1" applyAlignment="1">
      <alignment horizontal="center" shrinkToFit="1"/>
    </xf>
    <xf numFmtId="0" fontId="15" fillId="2" borderId="0" xfId="4" applyFont="1" applyFill="1" applyAlignment="1">
      <alignment horizontal="center" shrinkToFit="1"/>
    </xf>
    <xf numFmtId="0" fontId="12" fillId="2" borderId="0" xfId="0" applyFont="1" applyFill="1" applyAlignment="1">
      <alignment horizontal="center" wrapText="1"/>
    </xf>
    <xf numFmtId="0" fontId="4" fillId="0" borderId="0" xfId="4" applyFont="1" applyAlignment="1">
      <alignment horizontal="center" shrinkToFit="1"/>
    </xf>
    <xf numFmtId="0" fontId="13" fillId="2" borderId="0" xfId="4" applyFont="1" applyFill="1" applyAlignment="1">
      <alignment horizontal="center" shrinkToFit="1"/>
    </xf>
    <xf numFmtId="4" fontId="37" fillId="2" borderId="0" xfId="5" applyNumberFormat="1" applyFont="1" applyFill="1" applyAlignment="1">
      <alignment horizontal="center" shrinkToFit="1"/>
    </xf>
    <xf numFmtId="4" fontId="14" fillId="2" borderId="0" xfId="5" applyNumberFormat="1" applyFont="1" applyFill="1" applyAlignment="1">
      <alignment horizontal="center" vertical="top" shrinkToFit="1"/>
    </xf>
    <xf numFmtId="0" fontId="6" fillId="2" borderId="0" xfId="4" applyFont="1" applyFill="1" applyAlignment="1">
      <alignment horizontal="center" shrinkToFit="1"/>
    </xf>
    <xf numFmtId="4" fontId="11" fillId="2" borderId="0" xfId="5" applyNumberFormat="1" applyFont="1" applyFill="1" applyAlignment="1">
      <alignment horizontal="center" shrinkToFit="1"/>
    </xf>
    <xf numFmtId="4" fontId="8" fillId="2" borderId="0" xfId="5" applyNumberFormat="1" applyFont="1" applyFill="1" applyAlignment="1">
      <alignment horizontal="center" shrinkToFit="1"/>
    </xf>
    <xf numFmtId="4" fontId="11" fillId="2" borderId="7" xfId="5" applyNumberFormat="1" applyFont="1" applyFill="1" applyBorder="1" applyAlignment="1">
      <alignment horizontal="center" shrinkToFit="1"/>
    </xf>
    <xf numFmtId="0" fontId="7" fillId="3" borderId="8" xfId="5" applyFont="1" applyFill="1" applyBorder="1" applyAlignment="1">
      <alignment horizontal="center" vertical="center" shrinkToFit="1"/>
    </xf>
    <xf numFmtId="0" fontId="7" fillId="3" borderId="14" xfId="5" applyFont="1" applyFill="1" applyBorder="1" applyAlignment="1">
      <alignment horizontal="center" vertical="center" shrinkToFit="1"/>
    </xf>
    <xf numFmtId="0" fontId="7" fillId="3" borderId="9" xfId="5" applyFont="1" applyFill="1" applyBorder="1" applyAlignment="1">
      <alignment horizontal="center" vertical="center" shrinkToFit="1"/>
    </xf>
    <xf numFmtId="0" fontId="7" fillId="3" borderId="15" xfId="5" applyFont="1" applyFill="1" applyBorder="1" applyAlignment="1">
      <alignment horizontal="center" vertical="center" shrinkToFit="1"/>
    </xf>
    <xf numFmtId="4" fontId="7" fillId="3" borderId="10" xfId="5" applyNumberFormat="1" applyFont="1" applyFill="1" applyBorder="1" applyAlignment="1">
      <alignment horizontal="center" vertical="justify" shrinkToFit="1"/>
    </xf>
    <xf numFmtId="4" fontId="7" fillId="3" borderId="16" xfId="5" applyNumberFormat="1" applyFont="1" applyFill="1" applyBorder="1" applyAlignment="1">
      <alignment horizontal="center" vertical="justify" shrinkToFit="1"/>
    </xf>
    <xf numFmtId="4" fontId="7" fillId="3" borderId="11" xfId="5" applyNumberFormat="1" applyFont="1" applyFill="1" applyBorder="1" applyAlignment="1">
      <alignment horizontal="center" shrinkToFit="1"/>
    </xf>
    <xf numFmtId="4" fontId="7" fillId="3" borderId="12" xfId="5" applyNumberFormat="1" applyFont="1" applyFill="1" applyBorder="1" applyAlignment="1">
      <alignment horizontal="center" shrinkToFit="1"/>
    </xf>
    <xf numFmtId="4" fontId="7" fillId="3" borderId="13" xfId="5" applyNumberFormat="1" applyFont="1" applyFill="1" applyBorder="1" applyAlignment="1">
      <alignment horizontal="center" shrinkToFit="1"/>
    </xf>
    <xf numFmtId="0" fontId="18" fillId="0" borderId="0" xfId="0" applyFont="1" applyAlignment="1">
      <alignment horizontal="center" vertical="center"/>
    </xf>
    <xf numFmtId="0" fontId="11" fillId="4" borderId="26" xfId="5" applyFont="1" applyFill="1" applyBorder="1" applyAlignment="1">
      <alignment horizontal="left" shrinkToFit="1"/>
    </xf>
    <xf numFmtId="0" fontId="41" fillId="18" borderId="0" xfId="0" applyFont="1" applyFill="1" applyAlignment="1">
      <alignment horizontal="center"/>
    </xf>
    <xf numFmtId="0" fontId="41" fillId="18" borderId="6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41" fillId="17" borderId="69" xfId="0" applyFont="1" applyFill="1" applyBorder="1" applyAlignment="1">
      <alignment horizontal="center"/>
    </xf>
    <xf numFmtId="0" fontId="41" fillId="17" borderId="67" xfId="0" applyFont="1" applyFill="1" applyBorder="1" applyAlignment="1">
      <alignment horizontal="center"/>
    </xf>
    <xf numFmtId="0" fontId="54" fillId="20" borderId="0" xfId="0" applyFont="1" applyFill="1" applyAlignment="1">
      <alignment horizontal="center" wrapText="1"/>
    </xf>
    <xf numFmtId="0" fontId="54" fillId="20" borderId="0" xfId="0" applyFont="1" applyFill="1" applyAlignment="1">
      <alignment horizontal="center"/>
    </xf>
    <xf numFmtId="0" fontId="0" fillId="0" borderId="57" xfId="0" applyBorder="1" applyAlignment="1">
      <alignment horizontal="right"/>
    </xf>
    <xf numFmtId="0" fontId="0" fillId="0" borderId="50" xfId="0" applyBorder="1" applyAlignment="1">
      <alignment horizontal="right"/>
    </xf>
    <xf numFmtId="0" fontId="0" fillId="0" borderId="50" xfId="0" applyBorder="1" applyAlignment="1">
      <alignment horizontal="left"/>
    </xf>
    <xf numFmtId="0" fontId="0" fillId="0" borderId="51" xfId="0" applyBorder="1" applyAlignment="1">
      <alignment horizontal="left"/>
    </xf>
    <xf numFmtId="0" fontId="0" fillId="0" borderId="60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19" xfId="0" applyBorder="1" applyAlignment="1">
      <alignment horizontal="left"/>
    </xf>
    <xf numFmtId="0" fontId="0" fillId="0" borderId="14" xfId="0" applyBorder="1" applyAlignment="1">
      <alignment horizontal="left"/>
    </xf>
    <xf numFmtId="0" fontId="27" fillId="9" borderId="12" xfId="0" applyFont="1" applyFill="1" applyBorder="1" applyAlignment="1">
      <alignment horizontal="left"/>
    </xf>
    <xf numFmtId="0" fontId="27" fillId="9" borderId="8" xfId="0" applyFont="1" applyFill="1" applyBorder="1" applyAlignment="1">
      <alignment horizontal="left"/>
    </xf>
    <xf numFmtId="0" fontId="2" fillId="11" borderId="57" xfId="0" applyFont="1" applyFill="1" applyBorder="1" applyAlignment="1">
      <alignment horizontal="right"/>
    </xf>
    <xf numFmtId="0" fontId="2" fillId="11" borderId="50" xfId="0" applyFont="1" applyFill="1" applyBorder="1" applyAlignment="1">
      <alignment horizontal="right"/>
    </xf>
    <xf numFmtId="0" fontId="2" fillId="11" borderId="50" xfId="0" applyFont="1" applyFill="1" applyBorder="1" applyAlignment="1">
      <alignment horizontal="left"/>
    </xf>
    <xf numFmtId="0" fontId="2" fillId="11" borderId="51" xfId="0" applyFont="1" applyFill="1" applyBorder="1" applyAlignment="1">
      <alignment horizontal="left"/>
    </xf>
    <xf numFmtId="0" fontId="2" fillId="10" borderId="57" xfId="0" applyFont="1" applyFill="1" applyBorder="1" applyAlignment="1">
      <alignment horizontal="right"/>
    </xf>
    <xf numFmtId="0" fontId="2" fillId="10" borderId="50" xfId="0" applyFont="1" applyFill="1" applyBorder="1" applyAlignment="1">
      <alignment horizontal="right"/>
    </xf>
    <xf numFmtId="0" fontId="2" fillId="10" borderId="50" xfId="0" applyFont="1" applyFill="1" applyBorder="1" applyAlignment="1">
      <alignment horizontal="left"/>
    </xf>
    <xf numFmtId="0" fontId="2" fillId="10" borderId="51" xfId="0" applyFont="1" applyFill="1" applyBorder="1" applyAlignment="1">
      <alignment horizontal="left"/>
    </xf>
    <xf numFmtId="0" fontId="3" fillId="2" borderId="7" xfId="4" applyFont="1" applyFill="1" applyBorder="1" applyAlignment="1">
      <alignment horizontal="center" shrinkToFit="1"/>
    </xf>
    <xf numFmtId="0" fontId="3" fillId="2" borderId="53" xfId="4" applyFont="1" applyFill="1" applyBorder="1" applyAlignment="1">
      <alignment horizontal="center" shrinkToFit="1"/>
    </xf>
    <xf numFmtId="0" fontId="3" fillId="2" borderId="54" xfId="4" applyFont="1" applyFill="1" applyBorder="1" applyAlignment="1">
      <alignment horizontal="center" shrinkToFit="1"/>
    </xf>
    <xf numFmtId="0" fontId="3" fillId="2" borderId="55" xfId="4" applyFont="1" applyFill="1" applyBorder="1" applyAlignment="1">
      <alignment horizontal="center" shrinkToFit="1"/>
    </xf>
    <xf numFmtId="49" fontId="0" fillId="0" borderId="57" xfId="0" applyNumberFormat="1" applyBorder="1" applyAlignment="1">
      <alignment horizontal="right"/>
    </xf>
    <xf numFmtId="4" fontId="0" fillId="0" borderId="50" xfId="0" applyNumberFormat="1" applyBorder="1" applyAlignment="1">
      <alignment horizontal="left"/>
    </xf>
    <xf numFmtId="0" fontId="12" fillId="0" borderId="0" xfId="0" applyFont="1" applyAlignment="1">
      <alignment horizontal="center"/>
    </xf>
    <xf numFmtId="0" fontId="29" fillId="6" borderId="53" xfId="4" applyFont="1" applyFill="1" applyBorder="1" applyAlignment="1">
      <alignment horizontal="center" shrinkToFit="1"/>
    </xf>
    <xf numFmtId="0" fontId="29" fillId="6" borderId="54" xfId="4" applyFont="1" applyFill="1" applyBorder="1" applyAlignment="1">
      <alignment horizontal="center" shrinkToFit="1"/>
    </xf>
    <xf numFmtId="0" fontId="29" fillId="6" borderId="55" xfId="4" applyFont="1" applyFill="1" applyBorder="1" applyAlignment="1">
      <alignment horizontal="center" shrinkToFit="1"/>
    </xf>
    <xf numFmtId="49" fontId="0" fillId="0" borderId="58" xfId="0" applyNumberFormat="1" applyBorder="1" applyAlignment="1">
      <alignment horizontal="right"/>
    </xf>
    <xf numFmtId="0" fontId="0" fillId="0" borderId="59" xfId="0" applyBorder="1" applyAlignment="1">
      <alignment horizontal="right"/>
    </xf>
    <xf numFmtId="0" fontId="0" fillId="0" borderId="59" xfId="0" applyBorder="1" applyAlignment="1">
      <alignment horizontal="left"/>
    </xf>
    <xf numFmtId="0" fontId="0" fillId="0" borderId="56" xfId="0" applyBorder="1" applyAlignment="1">
      <alignment horizontal="left"/>
    </xf>
    <xf numFmtId="0" fontId="28" fillId="4" borderId="53" xfId="0" applyFont="1" applyFill="1" applyBorder="1" applyAlignment="1">
      <alignment horizontal="right"/>
    </xf>
    <xf numFmtId="0" fontId="28" fillId="4" borderId="54" xfId="0" applyFont="1" applyFill="1" applyBorder="1" applyAlignment="1">
      <alignment horizontal="right"/>
    </xf>
    <xf numFmtId="0" fontId="28" fillId="4" borderId="54" xfId="0" applyFont="1" applyFill="1" applyBorder="1" applyAlignment="1">
      <alignment horizontal="left"/>
    </xf>
  </cellXfs>
  <cellStyles count="9">
    <cellStyle name="Millares" xfId="1" builtinId="3"/>
    <cellStyle name="Millares 3 2" xfId="6" xr:uid="{00000000-0005-0000-0000-000001000000}"/>
    <cellStyle name="Millares 4" xfId="7" xr:uid="{00000000-0005-0000-0000-000002000000}"/>
    <cellStyle name="Moneda" xfId="2" builtinId="4"/>
    <cellStyle name="Normal" xfId="0" builtinId="0"/>
    <cellStyle name="Normal 2" xfId="5" xr:uid="{00000000-0005-0000-0000-000005000000}"/>
    <cellStyle name="Normal 2 3" xfId="8" xr:uid="{00000000-0005-0000-0000-000006000000}"/>
    <cellStyle name="Normal 3" xfId="4" xr:uid="{00000000-0005-0000-0000-000007000000}"/>
    <cellStyle name="Porcentaje" xfId="3" builtinId="5"/>
  </cellStyles>
  <dxfs count="0"/>
  <tableStyles count="0" defaultTableStyle="TableStyleMedium2" defaultPivotStyle="PivotStyleLight16"/>
  <colors>
    <mruColors>
      <color rgb="FFCCFF99"/>
      <color rgb="FFDDDDDD"/>
      <color rgb="FFFF0066"/>
      <color rgb="FFE7EE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588770</xdr:colOff>
      <xdr:row>124</xdr:row>
      <xdr:rowOff>50130</xdr:rowOff>
    </xdr:from>
    <xdr:to>
      <xdr:col>2</xdr:col>
      <xdr:colOff>1143001</xdr:colOff>
      <xdr:row>129</xdr:row>
      <xdr:rowOff>103047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A9E25944-A053-4E38-850D-3D5E09CF33BC}"/>
            </a:ext>
          </a:extLst>
        </xdr:cNvPr>
        <xdr:cNvSpPr txBox="1"/>
      </xdr:nvSpPr>
      <xdr:spPr>
        <a:xfrm>
          <a:off x="1230454" y="26499551"/>
          <a:ext cx="2689836" cy="10054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200" b="1"/>
            <a:t>Mtra.</a:t>
          </a:r>
          <a:r>
            <a:rPr lang="es-MX" sz="1200" b="1" baseline="0"/>
            <a:t> Neria Martínez Aguirre</a:t>
          </a:r>
          <a:r>
            <a:rPr lang="es-MX" sz="1200" b="1"/>
            <a:t>   </a:t>
          </a:r>
        </a:p>
        <a:p>
          <a:pPr algn="ctr"/>
          <a:r>
            <a:rPr lang="es-MX" sz="1200" b="1"/>
            <a:t>  </a:t>
          </a:r>
          <a:r>
            <a:rPr lang="es-MX" sz="1200" b="0"/>
            <a:t>Presidenta</a:t>
          </a:r>
          <a:endParaRPr lang="es-MX" sz="1200"/>
        </a:p>
      </xdr:txBody>
    </xdr:sp>
    <xdr:clientData/>
  </xdr:twoCellAnchor>
  <xdr:twoCellAnchor>
    <xdr:from>
      <xdr:col>2</xdr:col>
      <xdr:colOff>1914466</xdr:colOff>
      <xdr:row>124</xdr:row>
      <xdr:rowOff>95806</xdr:rowOff>
    </xdr:from>
    <xdr:to>
      <xdr:col>2</xdr:col>
      <xdr:colOff>4561973</xdr:colOff>
      <xdr:row>129</xdr:row>
      <xdr:rowOff>121508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1771E507-5599-457C-8555-29B21B417C35}"/>
            </a:ext>
          </a:extLst>
        </xdr:cNvPr>
        <xdr:cNvSpPr txBox="1"/>
      </xdr:nvSpPr>
      <xdr:spPr>
        <a:xfrm flipH="1">
          <a:off x="4691755" y="26545227"/>
          <a:ext cx="2647507" cy="9782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200" b="1" baseline="0"/>
            <a:t>LCP. Judith Hernández Castellano</a:t>
          </a:r>
        </a:p>
        <a:p>
          <a:pPr algn="ctr"/>
          <a:r>
            <a:rPr lang="es-MX" sz="1200" baseline="0"/>
            <a:t>Tesorera</a:t>
          </a:r>
          <a:endParaRPr lang="es-MX" sz="1200"/>
        </a:p>
      </xdr:txBody>
    </xdr:sp>
    <xdr:clientData/>
  </xdr:twoCellAnchor>
  <xdr:twoCellAnchor>
    <xdr:from>
      <xdr:col>1</xdr:col>
      <xdr:colOff>1092868</xdr:colOff>
      <xdr:row>132</xdr:row>
      <xdr:rowOff>110289</xdr:rowOff>
    </xdr:from>
    <xdr:to>
      <xdr:col>2</xdr:col>
      <xdr:colOff>2065421</xdr:colOff>
      <xdr:row>137</xdr:row>
      <xdr:rowOff>135991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9A6CAC9-BD1D-4977-957F-CEBCCAC9D804}"/>
            </a:ext>
          </a:extLst>
        </xdr:cNvPr>
        <xdr:cNvSpPr txBox="1"/>
      </xdr:nvSpPr>
      <xdr:spPr>
        <a:xfrm flipH="1">
          <a:off x="3970421" y="28524868"/>
          <a:ext cx="2977816" cy="9782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200" b="1" baseline="0"/>
            <a:t>C. Gregorio Mireles Delgado</a:t>
          </a:r>
        </a:p>
        <a:p>
          <a:pPr algn="ctr"/>
          <a:r>
            <a:rPr lang="es-MX" sz="1200" baseline="0"/>
            <a:t>Vocal</a:t>
          </a:r>
          <a:endParaRPr lang="es-MX" sz="1200"/>
        </a:p>
      </xdr:txBody>
    </xdr:sp>
    <xdr:clientData/>
  </xdr:twoCellAnchor>
  <xdr:twoCellAnchor>
    <xdr:from>
      <xdr:col>2</xdr:col>
      <xdr:colOff>3509206</xdr:colOff>
      <xdr:row>132</xdr:row>
      <xdr:rowOff>60156</xdr:rowOff>
    </xdr:from>
    <xdr:to>
      <xdr:col>9</xdr:col>
      <xdr:colOff>1132973</xdr:colOff>
      <xdr:row>137</xdr:row>
      <xdr:rowOff>75831</xdr:rowOff>
    </xdr:to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72B85904-636B-4D21-961B-A2042D7F6620}"/>
            </a:ext>
          </a:extLst>
        </xdr:cNvPr>
        <xdr:cNvSpPr txBox="1"/>
      </xdr:nvSpPr>
      <xdr:spPr>
        <a:xfrm flipH="1">
          <a:off x="6286495" y="28033577"/>
          <a:ext cx="2917662" cy="96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</a:t>
          </a:r>
        </a:p>
        <a:p>
          <a:pPr algn="ctr"/>
          <a:r>
            <a:rPr lang="es-MX" sz="1200" b="1"/>
            <a:t>C. Alejandra</a:t>
          </a:r>
          <a:r>
            <a:rPr lang="es-MX" sz="1200" b="1" baseline="0"/>
            <a:t> Acosta Juárez</a:t>
          </a:r>
        </a:p>
        <a:p>
          <a:pPr algn="ctr"/>
          <a:r>
            <a:rPr lang="es-MX" sz="1200" baseline="0"/>
            <a:t>Vocal</a:t>
          </a:r>
          <a:endParaRPr lang="es-MX" sz="1200"/>
        </a:p>
      </xdr:txBody>
    </xdr:sp>
    <xdr:clientData/>
  </xdr:twoCellAnchor>
  <xdr:twoCellAnchor editAs="oneCell">
    <xdr:from>
      <xdr:col>0</xdr:col>
      <xdr:colOff>635557</xdr:colOff>
      <xdr:row>0</xdr:row>
      <xdr:rowOff>0</xdr:rowOff>
    </xdr:from>
    <xdr:to>
      <xdr:col>1</xdr:col>
      <xdr:colOff>1042737</xdr:colOff>
      <xdr:row>2</xdr:row>
      <xdr:rowOff>88565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1815550A-646B-478A-83FC-7E7CCB067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57" y="0"/>
          <a:ext cx="1048864" cy="81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391026</xdr:colOff>
      <xdr:row>124</xdr:row>
      <xdr:rowOff>50132</xdr:rowOff>
    </xdr:from>
    <xdr:to>
      <xdr:col>8</xdr:col>
      <xdr:colOff>772027</xdr:colOff>
      <xdr:row>129</xdr:row>
      <xdr:rowOff>75834</xdr:rowOff>
    </xdr:to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id="{07B1C3A5-8341-4975-B04B-1C13731135E1}"/>
            </a:ext>
          </a:extLst>
        </xdr:cNvPr>
        <xdr:cNvSpPr txBox="1"/>
      </xdr:nvSpPr>
      <xdr:spPr>
        <a:xfrm flipH="1">
          <a:off x="8221579" y="26499553"/>
          <a:ext cx="2596816" cy="9782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</a:t>
          </a:r>
        </a:p>
        <a:p>
          <a:pPr algn="ctr"/>
          <a:r>
            <a:rPr lang="es-MX" sz="1100" b="1" baseline="0"/>
            <a:t>Lic. Divanni Chayen Rangel López</a:t>
          </a:r>
          <a:endParaRPr lang="es-MX" sz="1200" b="1" baseline="0"/>
        </a:p>
        <a:p>
          <a:pPr algn="ctr"/>
          <a:r>
            <a:rPr lang="es-MX" sz="1200" baseline="0"/>
            <a:t>Secretaria</a:t>
          </a:r>
          <a:endParaRPr lang="es-MX" sz="1200"/>
        </a:p>
      </xdr:txBody>
    </xdr:sp>
    <xdr:clientData/>
  </xdr:twoCellAnchor>
  <xdr:twoCellAnchor>
    <xdr:from>
      <xdr:col>9</xdr:col>
      <xdr:colOff>180474</xdr:colOff>
      <xdr:row>124</xdr:row>
      <xdr:rowOff>120316</xdr:rowOff>
    </xdr:from>
    <xdr:to>
      <xdr:col>11</xdr:col>
      <xdr:colOff>701842</xdr:colOff>
      <xdr:row>129</xdr:row>
      <xdr:rowOff>6016</xdr:rowOff>
    </xdr:to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63BFC597-7823-40EC-8773-D15A324D7472}"/>
            </a:ext>
          </a:extLst>
        </xdr:cNvPr>
        <xdr:cNvSpPr txBox="1"/>
      </xdr:nvSpPr>
      <xdr:spPr>
        <a:xfrm>
          <a:off x="8251658" y="26569737"/>
          <a:ext cx="2827421" cy="838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</a:t>
          </a:r>
        </a:p>
        <a:p>
          <a:pPr algn="ctr"/>
          <a:r>
            <a:rPr lang="es-MX" sz="1100" b="1"/>
            <a:t>Lic.</a:t>
          </a:r>
          <a:r>
            <a:rPr lang="es-MX" sz="1100" b="1" baseline="0"/>
            <a:t> Divanni Chayen Rangel López</a:t>
          </a:r>
          <a:endParaRPr lang="es-MX" sz="1200" b="1"/>
        </a:p>
        <a:p>
          <a:pPr algn="ctr"/>
          <a:r>
            <a:rPr lang="es-MX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MX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Secretaria</a:t>
          </a:r>
          <a:r>
            <a:rPr lang="es-MX" sz="1200"/>
            <a:t>      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28576</xdr:rowOff>
    </xdr:from>
    <xdr:to>
      <xdr:col>1</xdr:col>
      <xdr:colOff>66675</xdr:colOff>
      <xdr:row>2</xdr:row>
      <xdr:rowOff>295275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6"/>
          <a:ext cx="819150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44</xdr:row>
      <xdr:rowOff>19050</xdr:rowOff>
    </xdr:from>
    <xdr:to>
      <xdr:col>2</xdr:col>
      <xdr:colOff>1257300</xdr:colOff>
      <xdr:row>49</xdr:row>
      <xdr:rowOff>71967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19075" y="8963025"/>
          <a:ext cx="2562225" cy="10054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</a:t>
          </a:r>
        </a:p>
        <a:p>
          <a:pPr algn="ctr"/>
          <a:r>
            <a:rPr lang="es-MX" sz="1200" b="1"/>
            <a:t>Mtra.</a:t>
          </a:r>
          <a:r>
            <a:rPr lang="es-MX" sz="1200" b="1" baseline="0"/>
            <a:t> Neria Martínez Aguirre</a:t>
          </a:r>
          <a:r>
            <a:rPr lang="es-MX" sz="1200" b="1"/>
            <a:t>    </a:t>
          </a:r>
        </a:p>
        <a:p>
          <a:pPr algn="ctr"/>
          <a:r>
            <a:rPr lang="es-MX" sz="1200" b="1"/>
            <a:t>  </a:t>
          </a:r>
          <a:r>
            <a:rPr lang="es-MX" sz="1200" b="0"/>
            <a:t>Presidenta</a:t>
          </a:r>
          <a:endParaRPr lang="es-MX" sz="1200"/>
        </a:p>
      </xdr:txBody>
    </xdr:sp>
    <xdr:clientData/>
  </xdr:twoCellAnchor>
  <xdr:twoCellAnchor>
    <xdr:from>
      <xdr:col>2</xdr:col>
      <xdr:colOff>1409700</xdr:colOff>
      <xdr:row>44</xdr:row>
      <xdr:rowOff>28575</xdr:rowOff>
    </xdr:from>
    <xdr:to>
      <xdr:col>4</xdr:col>
      <xdr:colOff>304800</xdr:colOff>
      <xdr:row>49</xdr:row>
      <xdr:rowOff>54277</xdr:rowOff>
    </xdr:to>
    <xdr:sp macro="" textlink="">
      <xdr:nvSpPr>
        <xdr:cNvPr id="15" name="4 CuadroTexto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 flipH="1">
          <a:off x="2933700" y="8972550"/>
          <a:ext cx="2647950" cy="9782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</a:t>
          </a:r>
        </a:p>
        <a:p>
          <a:pPr algn="ctr"/>
          <a:r>
            <a:rPr lang="es-MX" sz="1200" b="1" baseline="0"/>
            <a:t>LCP. Judith Hernández Castellano</a:t>
          </a:r>
        </a:p>
        <a:p>
          <a:pPr algn="ctr"/>
          <a:r>
            <a:rPr lang="es-MX" sz="1200" baseline="0"/>
            <a:t>Tesorera</a:t>
          </a:r>
          <a:endParaRPr lang="es-MX" sz="1200"/>
        </a:p>
      </xdr:txBody>
    </xdr:sp>
    <xdr:clientData/>
  </xdr:twoCellAnchor>
  <xdr:twoCellAnchor>
    <xdr:from>
      <xdr:col>4</xdr:col>
      <xdr:colOff>371475</xdr:colOff>
      <xdr:row>44</xdr:row>
      <xdr:rowOff>47625</xdr:rowOff>
    </xdr:from>
    <xdr:to>
      <xdr:col>7</xdr:col>
      <xdr:colOff>685800</xdr:colOff>
      <xdr:row>48</xdr:row>
      <xdr:rowOff>123825</xdr:rowOff>
    </xdr:to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648325" y="8991600"/>
          <a:ext cx="2762250" cy="838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</a:t>
          </a:r>
        </a:p>
        <a:p>
          <a:pPr algn="ctr"/>
          <a:r>
            <a:rPr lang="es-MX" sz="1100" b="1"/>
            <a:t>Lic.</a:t>
          </a:r>
          <a:r>
            <a:rPr lang="es-MX" sz="1100" b="1" baseline="0"/>
            <a:t> Divanni Chayen Rangel López</a:t>
          </a:r>
          <a:endParaRPr lang="es-MX" sz="1200" b="1"/>
        </a:p>
        <a:p>
          <a:pPr algn="ctr"/>
          <a:r>
            <a:rPr lang="es-MX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MX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Secretaria</a:t>
          </a:r>
          <a:r>
            <a:rPr lang="es-MX" sz="1200"/>
            <a:t>              </a:t>
          </a:r>
        </a:p>
      </xdr:txBody>
    </xdr:sp>
    <xdr:clientData/>
  </xdr:twoCellAnchor>
  <xdr:twoCellAnchor>
    <xdr:from>
      <xdr:col>3</xdr:col>
      <xdr:colOff>828675</xdr:colOff>
      <xdr:row>51</xdr:row>
      <xdr:rowOff>161925</xdr:rowOff>
    </xdr:from>
    <xdr:to>
      <xdr:col>7</xdr:col>
      <xdr:colOff>371475</xdr:colOff>
      <xdr:row>56</xdr:row>
      <xdr:rowOff>187627</xdr:rowOff>
    </xdr:to>
    <xdr:sp macro="" textlink="">
      <xdr:nvSpPr>
        <xdr:cNvPr id="18" name="5 CuadroTexto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 flipH="1">
          <a:off x="5267325" y="12087225"/>
          <a:ext cx="2609850" cy="9782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</a:t>
          </a:r>
        </a:p>
        <a:p>
          <a:pPr algn="ctr"/>
          <a:r>
            <a:rPr lang="es-MX" sz="1200" b="1"/>
            <a:t>C. Alejandra</a:t>
          </a:r>
          <a:r>
            <a:rPr lang="es-MX" sz="1200" b="1" baseline="0"/>
            <a:t> Acosta Juárez</a:t>
          </a:r>
        </a:p>
        <a:p>
          <a:pPr algn="ctr"/>
          <a:r>
            <a:rPr lang="es-MX" sz="1200" baseline="0"/>
            <a:t>Vocal</a:t>
          </a:r>
          <a:endParaRPr lang="es-MX" sz="1200"/>
        </a:p>
      </xdr:txBody>
    </xdr: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1562100</xdr:colOff>
      <xdr:row>58</xdr:row>
      <xdr:rowOff>25702</xdr:rowOff>
    </xdr:to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 flipH="1">
          <a:off x="762000" y="12306300"/>
          <a:ext cx="2324100" cy="9782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200" b="1" baseline="0"/>
            <a:t>C. Gregorio Mireles Delgado</a:t>
          </a:r>
        </a:p>
        <a:p>
          <a:pPr algn="ctr"/>
          <a:r>
            <a:rPr lang="es-MX" sz="1200" baseline="0"/>
            <a:t>Vocal</a:t>
          </a:r>
          <a:endParaRPr lang="es-MX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243416</xdr:colOff>
      <xdr:row>3</xdr:row>
      <xdr:rowOff>63489</xdr:rowOff>
    </xdr:from>
    <xdr:to>
      <xdr:col>13</xdr:col>
      <xdr:colOff>273844</xdr:colOff>
      <xdr:row>7</xdr:row>
      <xdr:rowOff>178593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2104" y="730239"/>
          <a:ext cx="1649678" cy="1043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71437</xdr:colOff>
      <xdr:row>55</xdr:row>
      <xdr:rowOff>107156</xdr:rowOff>
    </xdr:from>
    <xdr:to>
      <xdr:col>2</xdr:col>
      <xdr:colOff>1752600</xdr:colOff>
      <xdr:row>60</xdr:row>
      <xdr:rowOff>112448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33437" y="10227469"/>
          <a:ext cx="3133726" cy="10054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200" b="1"/>
            <a:t>Mtra.</a:t>
          </a:r>
          <a:r>
            <a:rPr lang="es-MX" sz="1200" b="1" baseline="0"/>
            <a:t> Neria Martínez Aguirre</a:t>
          </a:r>
          <a:r>
            <a:rPr lang="es-MX" sz="1200" b="1"/>
            <a:t>    </a:t>
          </a:r>
        </a:p>
        <a:p>
          <a:pPr algn="ctr"/>
          <a:r>
            <a:rPr lang="es-MX" sz="1200" b="1"/>
            <a:t>  </a:t>
          </a:r>
          <a:r>
            <a:rPr lang="es-MX" sz="1200" b="0"/>
            <a:t>Presidenta</a:t>
          </a:r>
          <a:endParaRPr lang="es-MX" sz="1200"/>
        </a:p>
      </xdr:txBody>
    </xdr:sp>
    <xdr:clientData/>
  </xdr:twoCellAnchor>
  <xdr:twoCellAnchor>
    <xdr:from>
      <xdr:col>3</xdr:col>
      <xdr:colOff>166687</xdr:colOff>
      <xdr:row>55</xdr:row>
      <xdr:rowOff>47625</xdr:rowOff>
    </xdr:from>
    <xdr:to>
      <xdr:col>8</xdr:col>
      <xdr:colOff>238123</xdr:colOff>
      <xdr:row>60</xdr:row>
      <xdr:rowOff>25702</xdr:rowOff>
    </xdr:to>
    <xdr:sp macro="" textlink="">
      <xdr:nvSpPr>
        <xdr:cNvPr id="9" name="4 CuadroText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 flipH="1">
          <a:off x="4869656" y="10167938"/>
          <a:ext cx="3345655" cy="9782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</a:t>
          </a:r>
        </a:p>
        <a:p>
          <a:pPr algn="ctr"/>
          <a:r>
            <a:rPr lang="es-MX" sz="1200" b="1" baseline="0"/>
            <a:t>LCP. Judith Hernández Castellano</a:t>
          </a:r>
        </a:p>
        <a:p>
          <a:pPr algn="ctr"/>
          <a:r>
            <a:rPr lang="es-MX" sz="1200" baseline="0"/>
            <a:t>Tesorera</a:t>
          </a:r>
          <a:endParaRPr lang="es-MX" sz="1200"/>
        </a:p>
      </xdr:txBody>
    </xdr:sp>
    <xdr:clientData/>
  </xdr:twoCellAnchor>
  <xdr:twoCellAnchor>
    <xdr:from>
      <xdr:col>9</xdr:col>
      <xdr:colOff>238126</xdr:colOff>
      <xdr:row>55</xdr:row>
      <xdr:rowOff>23812</xdr:rowOff>
    </xdr:from>
    <xdr:to>
      <xdr:col>12</xdr:col>
      <xdr:colOff>445295</xdr:colOff>
      <xdr:row>59</xdr:row>
      <xdr:rowOff>64294</xdr:rowOff>
    </xdr:to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9203532" y="10144125"/>
          <a:ext cx="2719388" cy="838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</a:t>
          </a:r>
        </a:p>
        <a:p>
          <a:pPr algn="ctr"/>
          <a:r>
            <a:rPr lang="es-MX" sz="1100" b="1"/>
            <a:t>Lic.</a:t>
          </a:r>
          <a:r>
            <a:rPr lang="es-MX" sz="1100" b="1" baseline="0"/>
            <a:t> Divanni Chayen Rangel López</a:t>
          </a:r>
          <a:endParaRPr lang="es-MX" sz="1200" b="1"/>
        </a:p>
        <a:p>
          <a:pPr algn="ctr"/>
          <a:r>
            <a:rPr lang="es-MX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MX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Secretaria</a:t>
          </a:r>
          <a:r>
            <a:rPr lang="es-MX" sz="1200"/>
            <a:t>              </a:t>
          </a:r>
        </a:p>
      </xdr:txBody>
    </xdr:sp>
    <xdr:clientData/>
  </xdr:twoCellAnchor>
  <xdr:twoCellAnchor>
    <xdr:from>
      <xdr:col>13</xdr:col>
      <xdr:colOff>130968</xdr:colOff>
      <xdr:row>55</xdr:row>
      <xdr:rowOff>47626</xdr:rowOff>
    </xdr:from>
    <xdr:to>
      <xdr:col>17</xdr:col>
      <xdr:colOff>50006</xdr:colOff>
      <xdr:row>60</xdr:row>
      <xdr:rowOff>25703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 flipH="1">
          <a:off x="12537281" y="10167939"/>
          <a:ext cx="2955131" cy="9782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200" b="1" baseline="0"/>
            <a:t>C. Gregorio Mireles Delgado</a:t>
          </a:r>
        </a:p>
        <a:p>
          <a:pPr algn="ctr"/>
          <a:r>
            <a:rPr lang="es-MX" sz="1200" baseline="0"/>
            <a:t>Vocal</a:t>
          </a:r>
          <a:endParaRPr lang="es-MX" sz="1200"/>
        </a:p>
      </xdr:txBody>
    </xdr:sp>
    <xdr:clientData/>
  </xdr:twoCellAnchor>
  <xdr:twoCellAnchor>
    <xdr:from>
      <xdr:col>17</xdr:col>
      <xdr:colOff>797718</xdr:colOff>
      <xdr:row>55</xdr:row>
      <xdr:rowOff>11907</xdr:rowOff>
    </xdr:from>
    <xdr:to>
      <xdr:col>21</xdr:col>
      <xdr:colOff>130966</xdr:colOff>
      <xdr:row>59</xdr:row>
      <xdr:rowOff>192391</xdr:rowOff>
    </xdr:to>
    <xdr:sp macro="" textlink="">
      <xdr:nvSpPr>
        <xdr:cNvPr id="18" name="5 CuadroTexto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 flipH="1">
          <a:off x="16240124" y="10322720"/>
          <a:ext cx="2690811" cy="9782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</a:t>
          </a:r>
        </a:p>
        <a:p>
          <a:pPr algn="ctr"/>
          <a:r>
            <a:rPr lang="es-MX" sz="1200" b="1"/>
            <a:t>C. Alejandra</a:t>
          </a:r>
          <a:r>
            <a:rPr lang="es-MX" sz="1200" b="1" baseline="0"/>
            <a:t> Acosta Juárez</a:t>
          </a:r>
        </a:p>
        <a:p>
          <a:pPr algn="ctr"/>
          <a:r>
            <a:rPr lang="es-MX" sz="1200" baseline="0"/>
            <a:t>Vocal</a:t>
          </a:r>
          <a:endParaRPr lang="es-MX" sz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180</xdr:row>
      <xdr:rowOff>22990</xdr:rowOff>
    </xdr:from>
    <xdr:to>
      <xdr:col>6</xdr:col>
      <xdr:colOff>573294</xdr:colOff>
      <xdr:row>185</xdr:row>
      <xdr:rowOff>130608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86834" y="39625823"/>
          <a:ext cx="2912210" cy="11130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200" b="1"/>
            <a:t>Mtra.</a:t>
          </a:r>
          <a:r>
            <a:rPr lang="es-MX" sz="1200" b="1" baseline="0"/>
            <a:t> Neria Martínez Aguirre</a:t>
          </a:r>
          <a:r>
            <a:rPr lang="es-MX" sz="1200" b="1"/>
            <a:t>    </a:t>
          </a:r>
        </a:p>
        <a:p>
          <a:pPr algn="ctr"/>
          <a:r>
            <a:rPr lang="es-MX" sz="1200" b="1"/>
            <a:t>  </a:t>
          </a:r>
          <a:r>
            <a:rPr lang="es-MX" sz="1200" b="0"/>
            <a:t>Presidenta</a:t>
          </a:r>
          <a:endParaRPr lang="es-MX" sz="1200"/>
        </a:p>
      </xdr:txBody>
    </xdr:sp>
    <xdr:clientData/>
  </xdr:twoCellAnchor>
  <xdr:twoCellAnchor>
    <xdr:from>
      <xdr:col>8</xdr:col>
      <xdr:colOff>169334</xdr:colOff>
      <xdr:row>180</xdr:row>
      <xdr:rowOff>45035</xdr:rowOff>
    </xdr:from>
    <xdr:to>
      <xdr:col>8</xdr:col>
      <xdr:colOff>3234720</xdr:colOff>
      <xdr:row>184</xdr:row>
      <xdr:rowOff>169333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 flipH="1">
          <a:off x="4243917" y="39647868"/>
          <a:ext cx="3065386" cy="9286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200" b="1" baseline="0"/>
            <a:t>LCP. Judith Hernández Castellano</a:t>
          </a:r>
        </a:p>
        <a:p>
          <a:pPr algn="ctr"/>
          <a:r>
            <a:rPr lang="es-MX" sz="1200" baseline="0"/>
            <a:t>Tesorera</a:t>
          </a:r>
          <a:endParaRPr lang="es-MX" sz="1200"/>
        </a:p>
      </xdr:txBody>
    </xdr:sp>
    <xdr:clientData/>
  </xdr:twoCellAnchor>
  <xdr:twoCellAnchor>
    <xdr:from>
      <xdr:col>8</xdr:col>
      <xdr:colOff>3757083</xdr:colOff>
      <xdr:row>180</xdr:row>
      <xdr:rowOff>1949</xdr:rowOff>
    </xdr:from>
    <xdr:to>
      <xdr:col>20</xdr:col>
      <xdr:colOff>603250</xdr:colOff>
      <xdr:row>185</xdr:row>
      <xdr:rowOff>158751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7831666" y="39604782"/>
          <a:ext cx="2931584" cy="11622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_______________________________</a:t>
          </a:r>
        </a:p>
        <a:p>
          <a:pPr algn="ctr"/>
          <a:r>
            <a:rPr lang="es-MX" sz="1200" b="1"/>
            <a:t>Lic.</a:t>
          </a:r>
          <a:r>
            <a:rPr lang="es-MX" sz="1200" b="1" baseline="0"/>
            <a:t> Divanni Chayen Rangel López</a:t>
          </a:r>
          <a:endParaRPr lang="es-MX" sz="1200" b="1"/>
        </a:p>
        <a:p>
          <a:pPr algn="ctr"/>
          <a:r>
            <a:rPr lang="es-MX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Secretaria</a:t>
          </a:r>
          <a:r>
            <a:rPr lang="es-MX" sz="1200"/>
            <a:t>              </a:t>
          </a:r>
        </a:p>
      </xdr:txBody>
    </xdr:sp>
    <xdr:clientData/>
  </xdr:twoCellAnchor>
  <xdr:twoCellAnchor>
    <xdr:from>
      <xdr:col>1</xdr:col>
      <xdr:colOff>599600</xdr:colOff>
      <xdr:row>190</xdr:row>
      <xdr:rowOff>74084</xdr:rowOff>
    </xdr:from>
    <xdr:to>
      <xdr:col>8</xdr:col>
      <xdr:colOff>265897</xdr:colOff>
      <xdr:row>195</xdr:row>
      <xdr:rowOff>51102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 flipH="1">
          <a:off x="1075850" y="41476084"/>
          <a:ext cx="3836130" cy="982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200" b="1" baseline="0"/>
            <a:t>C. Gregorio Mireles Delgado</a:t>
          </a:r>
        </a:p>
        <a:p>
          <a:pPr algn="ctr"/>
          <a:r>
            <a:rPr lang="es-MX" sz="1200" baseline="0"/>
            <a:t>Vocal</a:t>
          </a:r>
          <a:endParaRPr lang="es-MX" sz="1200"/>
        </a:p>
      </xdr:txBody>
    </xdr:sp>
    <xdr:clientData/>
  </xdr:twoCellAnchor>
  <xdr:twoCellAnchor>
    <xdr:from>
      <xdr:col>8</xdr:col>
      <xdr:colOff>1898936</xdr:colOff>
      <xdr:row>190</xdr:row>
      <xdr:rowOff>69705</xdr:rowOff>
    </xdr:from>
    <xdr:to>
      <xdr:col>19</xdr:col>
      <xdr:colOff>137583</xdr:colOff>
      <xdr:row>195</xdr:row>
      <xdr:rowOff>50737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 flipH="1">
          <a:off x="6545019" y="41471705"/>
          <a:ext cx="3159897" cy="9864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200" b="1"/>
            <a:t>C.</a:t>
          </a:r>
          <a:r>
            <a:rPr lang="es-MX" sz="1200" b="1" baseline="0"/>
            <a:t> Alejandra Acosta Juárez</a:t>
          </a:r>
        </a:p>
        <a:p>
          <a:pPr algn="ctr"/>
          <a:r>
            <a:rPr lang="es-MX" sz="1200" baseline="0"/>
            <a:t>Vocal</a:t>
          </a:r>
          <a:endParaRPr lang="es-MX" sz="12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548409</xdr:colOff>
      <xdr:row>3</xdr:row>
      <xdr:rowOff>52917</xdr:rowOff>
    </xdr:to>
    <xdr:pic>
      <xdr:nvPicPr>
        <xdr:cNvPr id="10" name="6 Imagen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69158" cy="878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219074</xdr:colOff>
      <xdr:row>0</xdr:row>
      <xdr:rowOff>142875</xdr:rowOff>
    </xdr:from>
    <xdr:to>
      <xdr:col>3</xdr:col>
      <xdr:colOff>6103937</xdr:colOff>
      <xdr:row>6</xdr:row>
      <xdr:rowOff>285750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155699" y="142875"/>
          <a:ext cx="6257926" cy="1285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600" b="1" baseline="0"/>
            <a:t>MUNICIPO DE MANUEL DOBLADO </a:t>
          </a:r>
        </a:p>
        <a:p>
          <a:pPr algn="ctr"/>
          <a:r>
            <a:rPr lang="es-ES" sz="1100" baseline="0"/>
            <a:t> 1RA MOD. PRESUPUESTO DE EGRESOS EJERCICIO FISCAL 2025</a:t>
          </a:r>
        </a:p>
        <a:p>
          <a:pPr algn="ctr"/>
          <a:r>
            <a:rPr lang="es-ES" sz="1100" u="sng" baseline="0"/>
            <a:t>Clasificador por Objeto del Gasto</a:t>
          </a:r>
        </a:p>
        <a:p>
          <a:pPr algn="ctr"/>
          <a:r>
            <a:rPr lang="es-ES" sz="1100" baseline="0"/>
            <a:t>Entidades Paramunicales</a:t>
          </a:r>
        </a:p>
        <a:p>
          <a:pPr algn="ctr"/>
          <a:r>
            <a:rPr lang="es-ES" sz="1100" baseline="0"/>
            <a:t>Sistema Municipal de Agua Potable y Alcantarillado</a:t>
          </a:r>
          <a:endParaRPr lang="es-ES" sz="1100"/>
        </a:p>
      </xdr:txBody>
    </xdr:sp>
    <xdr:clientData/>
  </xdr:twoCellAnchor>
  <xdr:twoCellAnchor editAs="oneCell">
    <xdr:from>
      <xdr:col>0</xdr:col>
      <xdr:colOff>133350</xdr:colOff>
      <xdr:row>1</xdr:row>
      <xdr:rowOff>95249</xdr:rowOff>
    </xdr:from>
    <xdr:to>
      <xdr:col>2</xdr:col>
      <xdr:colOff>19050</xdr:colOff>
      <xdr:row>5</xdr:row>
      <xdr:rowOff>119062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85749"/>
          <a:ext cx="822325" cy="78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373063</xdr:colOff>
      <xdr:row>153</xdr:row>
      <xdr:rowOff>134937</xdr:rowOff>
    </xdr:from>
    <xdr:to>
      <xdr:col>3</xdr:col>
      <xdr:colOff>1458912</xdr:colOff>
      <xdr:row>158</xdr:row>
      <xdr:rowOff>187854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373063" y="31178500"/>
          <a:ext cx="2395537" cy="10054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</a:t>
          </a:r>
        </a:p>
        <a:p>
          <a:pPr algn="ctr"/>
          <a:r>
            <a:rPr lang="es-MX" sz="1200" b="1"/>
            <a:t>Mtra.</a:t>
          </a:r>
          <a:r>
            <a:rPr lang="es-MX" sz="1200" b="1" baseline="0"/>
            <a:t> Neria Martínez Aguirre</a:t>
          </a:r>
          <a:r>
            <a:rPr lang="es-MX" sz="1200" b="1"/>
            <a:t>   </a:t>
          </a:r>
        </a:p>
        <a:p>
          <a:pPr algn="ctr"/>
          <a:r>
            <a:rPr lang="es-MX" sz="1200" b="1"/>
            <a:t>  </a:t>
          </a:r>
          <a:r>
            <a:rPr lang="es-MX" sz="1200" b="0"/>
            <a:t>Presidenta</a:t>
          </a:r>
          <a:endParaRPr lang="es-MX" sz="1200"/>
        </a:p>
      </xdr:txBody>
    </xdr:sp>
    <xdr:clientData/>
  </xdr:twoCellAnchor>
  <xdr:twoCellAnchor>
    <xdr:from>
      <xdr:col>3</xdr:col>
      <xdr:colOff>1770063</xdr:colOff>
      <xdr:row>153</xdr:row>
      <xdr:rowOff>126999</xdr:rowOff>
    </xdr:from>
    <xdr:to>
      <xdr:col>3</xdr:col>
      <xdr:colOff>4846638</xdr:colOff>
      <xdr:row>158</xdr:row>
      <xdr:rowOff>152701</xdr:rowOff>
    </xdr:to>
    <xdr:sp macro="" textlink="">
      <xdr:nvSpPr>
        <xdr:cNvPr id="16" name="4 CuadroTexto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 flipH="1">
          <a:off x="3079751" y="31170562"/>
          <a:ext cx="3076575" cy="9782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</a:t>
          </a:r>
        </a:p>
        <a:p>
          <a:pPr algn="ctr"/>
          <a:r>
            <a:rPr lang="es-MX" sz="1200" b="1" baseline="0"/>
            <a:t>LCP. Judith Hernández Castellano</a:t>
          </a:r>
        </a:p>
        <a:p>
          <a:pPr algn="ctr"/>
          <a:r>
            <a:rPr lang="es-MX" sz="1200" baseline="0"/>
            <a:t>Tesorera</a:t>
          </a:r>
          <a:endParaRPr lang="es-MX" sz="1200"/>
        </a:p>
      </xdr:txBody>
    </xdr:sp>
    <xdr:clientData/>
  </xdr:twoCellAnchor>
  <xdr:twoCellAnchor>
    <xdr:from>
      <xdr:col>3</xdr:col>
      <xdr:colOff>5357811</xdr:colOff>
      <xdr:row>153</xdr:row>
      <xdr:rowOff>95250</xdr:rowOff>
    </xdr:from>
    <xdr:to>
      <xdr:col>5</xdr:col>
      <xdr:colOff>1270000</xdr:colOff>
      <xdr:row>157</xdr:row>
      <xdr:rowOff>171450</xdr:rowOff>
    </xdr:to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6667499" y="31138813"/>
          <a:ext cx="2333626" cy="838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 b="1"/>
            <a:t>Lic.</a:t>
          </a:r>
          <a:r>
            <a:rPr lang="es-MX" sz="1100" b="1" baseline="0"/>
            <a:t> Divanni Chayen Rangel López</a:t>
          </a:r>
          <a:endParaRPr lang="es-MX" sz="1200" b="1"/>
        </a:p>
        <a:p>
          <a:pPr algn="ctr"/>
          <a:r>
            <a:rPr lang="es-MX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MX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Secretaria</a:t>
          </a:r>
          <a:r>
            <a:rPr lang="es-MX" sz="1200"/>
            <a:t>              </a:t>
          </a:r>
        </a:p>
      </xdr:txBody>
    </xdr:sp>
    <xdr:clientData/>
  </xdr:twoCellAnchor>
  <xdr:twoCellAnchor>
    <xdr:from>
      <xdr:col>2</xdr:col>
      <xdr:colOff>246063</xdr:colOff>
      <xdr:row>160</xdr:row>
      <xdr:rowOff>182562</xdr:rowOff>
    </xdr:from>
    <xdr:to>
      <xdr:col>3</xdr:col>
      <xdr:colOff>2197100</xdr:colOff>
      <xdr:row>166</xdr:row>
      <xdr:rowOff>17764</xdr:rowOff>
    </xdr:to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 flipH="1">
          <a:off x="1182688" y="32559625"/>
          <a:ext cx="2324100" cy="9782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200" b="1" baseline="0"/>
            <a:t>C. Gregorio Mireles Delgado</a:t>
          </a:r>
        </a:p>
        <a:p>
          <a:pPr algn="ctr"/>
          <a:r>
            <a:rPr lang="es-MX" sz="1200" baseline="0"/>
            <a:t>Vocal</a:t>
          </a:r>
          <a:endParaRPr lang="es-MX" sz="1200"/>
        </a:p>
      </xdr:txBody>
    </xdr:sp>
    <xdr:clientData/>
  </xdr:twoCellAnchor>
  <xdr:twoCellAnchor>
    <xdr:from>
      <xdr:col>3</xdr:col>
      <xdr:colOff>3032125</xdr:colOff>
      <xdr:row>160</xdr:row>
      <xdr:rowOff>174625</xdr:rowOff>
    </xdr:from>
    <xdr:to>
      <xdr:col>3</xdr:col>
      <xdr:colOff>5453062</xdr:colOff>
      <xdr:row>166</xdr:row>
      <xdr:rowOff>9827</xdr:rowOff>
    </xdr:to>
    <xdr:sp macro="" textlink="">
      <xdr:nvSpPr>
        <xdr:cNvPr id="19" name="5 CuadroTexto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 flipH="1">
          <a:off x="4341813" y="32551688"/>
          <a:ext cx="2420937" cy="9782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</a:t>
          </a:r>
        </a:p>
        <a:p>
          <a:pPr algn="ctr"/>
          <a:r>
            <a:rPr lang="es-MX" sz="1200" b="1"/>
            <a:t>C. Alejandra</a:t>
          </a:r>
          <a:r>
            <a:rPr lang="es-MX" sz="1200" b="1" baseline="0"/>
            <a:t> Acosta Juárez</a:t>
          </a:r>
        </a:p>
        <a:p>
          <a:pPr algn="ctr"/>
          <a:r>
            <a:rPr lang="es-MX" sz="1200" baseline="0"/>
            <a:t>Vocal</a:t>
          </a:r>
          <a:endParaRPr lang="es-MX" sz="12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1</xdr:row>
      <xdr:rowOff>28574</xdr:rowOff>
    </xdr:from>
    <xdr:to>
      <xdr:col>1</xdr:col>
      <xdr:colOff>685799</xdr:colOff>
      <xdr:row>3</xdr:row>
      <xdr:rowOff>428624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" y="219074"/>
          <a:ext cx="126682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2</xdr:col>
      <xdr:colOff>514350</xdr:colOff>
      <xdr:row>90</xdr:row>
      <xdr:rowOff>52917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0" y="16602075"/>
          <a:ext cx="2133600" cy="10054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</a:t>
          </a:r>
        </a:p>
        <a:p>
          <a:pPr algn="ctr"/>
          <a:r>
            <a:rPr lang="es-MX" sz="1200" b="1"/>
            <a:t>Mtra.</a:t>
          </a:r>
          <a:r>
            <a:rPr lang="es-MX" sz="1200" b="1" baseline="0"/>
            <a:t> Neria Martínez Aguirre</a:t>
          </a:r>
          <a:r>
            <a:rPr lang="es-MX" sz="1200" b="1"/>
            <a:t>    </a:t>
          </a:r>
        </a:p>
        <a:p>
          <a:pPr algn="ctr"/>
          <a:r>
            <a:rPr lang="es-MX" sz="1200" b="1"/>
            <a:t>  </a:t>
          </a:r>
          <a:r>
            <a:rPr lang="es-MX" sz="1200" b="0"/>
            <a:t>Presidenta</a:t>
          </a:r>
          <a:endParaRPr lang="es-MX" sz="1200"/>
        </a:p>
      </xdr:txBody>
    </xdr:sp>
    <xdr:clientData/>
  </xdr:twoCellAnchor>
  <xdr:twoCellAnchor>
    <xdr:from>
      <xdr:col>3</xdr:col>
      <xdr:colOff>180975</xdr:colOff>
      <xdr:row>84</xdr:row>
      <xdr:rowOff>152400</xdr:rowOff>
    </xdr:from>
    <xdr:to>
      <xdr:col>6</xdr:col>
      <xdr:colOff>247650</xdr:colOff>
      <xdr:row>89</xdr:row>
      <xdr:rowOff>178102</xdr:rowOff>
    </xdr:to>
    <xdr:sp macro="" textlink="">
      <xdr:nvSpPr>
        <xdr:cNvPr id="9" name="4 CuadroText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 flipH="1">
          <a:off x="2609850" y="16563975"/>
          <a:ext cx="2495550" cy="9782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</a:t>
          </a:r>
        </a:p>
        <a:p>
          <a:pPr algn="ctr"/>
          <a:r>
            <a:rPr lang="es-MX" sz="1200" b="1" baseline="0"/>
            <a:t>LCP. Judith Hernández Castellano</a:t>
          </a:r>
        </a:p>
        <a:p>
          <a:pPr algn="ctr"/>
          <a:r>
            <a:rPr lang="es-MX" sz="1200" baseline="0"/>
            <a:t>Tesorera</a:t>
          </a:r>
          <a:endParaRPr lang="es-MX" sz="1200"/>
        </a:p>
      </xdr:txBody>
    </xdr:sp>
    <xdr:clientData/>
  </xdr:twoCellAnchor>
  <xdr:twoCellAnchor>
    <xdr:from>
      <xdr:col>7</xdr:col>
      <xdr:colOff>123824</xdr:colOff>
      <xdr:row>84</xdr:row>
      <xdr:rowOff>142875</xdr:rowOff>
    </xdr:from>
    <xdr:to>
      <xdr:col>9</xdr:col>
      <xdr:colOff>971551</xdr:colOff>
      <xdr:row>89</xdr:row>
      <xdr:rowOff>28575</xdr:rowOff>
    </xdr:to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5791199" y="16554450"/>
          <a:ext cx="2209802" cy="838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</a:t>
          </a:r>
        </a:p>
        <a:p>
          <a:pPr algn="ctr"/>
          <a:r>
            <a:rPr lang="es-MX" sz="1100" b="1"/>
            <a:t>Lic.</a:t>
          </a:r>
          <a:r>
            <a:rPr lang="es-MX" sz="1100" b="1" baseline="0"/>
            <a:t> Divanni Chayen Rangel López</a:t>
          </a:r>
          <a:endParaRPr lang="es-MX" sz="1200" b="1"/>
        </a:p>
        <a:p>
          <a:pPr algn="ctr"/>
          <a:r>
            <a:rPr lang="es-MX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MX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Secretaria</a:t>
          </a:r>
          <a:r>
            <a:rPr lang="es-MX" sz="1200"/>
            <a:t>              </a:t>
          </a:r>
        </a:p>
      </xdr:txBody>
    </xdr:sp>
    <xdr:clientData/>
  </xdr:twoCellAnchor>
  <xdr:twoCellAnchor>
    <xdr:from>
      <xdr:col>0</xdr:col>
      <xdr:colOff>476250</xdr:colOff>
      <xdr:row>91</xdr:row>
      <xdr:rowOff>95250</xdr:rowOff>
    </xdr:from>
    <xdr:to>
      <xdr:col>3</xdr:col>
      <xdr:colOff>742950</xdr:colOff>
      <xdr:row>96</xdr:row>
      <xdr:rowOff>120952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 flipH="1">
          <a:off x="476250" y="17840325"/>
          <a:ext cx="2724150" cy="9782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200" b="1" baseline="0"/>
            <a:t>C. Gregorio Mireles Delgado</a:t>
          </a:r>
        </a:p>
        <a:p>
          <a:pPr algn="ctr"/>
          <a:r>
            <a:rPr lang="es-MX" sz="1200" baseline="0"/>
            <a:t>Vocal</a:t>
          </a:r>
          <a:endParaRPr lang="es-MX" sz="1200"/>
        </a:p>
      </xdr:txBody>
    </xdr:sp>
    <xdr:clientData/>
  </xdr:twoCellAnchor>
  <xdr:twoCellAnchor>
    <xdr:from>
      <xdr:col>5</xdr:col>
      <xdr:colOff>9525</xdr:colOff>
      <xdr:row>91</xdr:row>
      <xdr:rowOff>133350</xdr:rowOff>
    </xdr:from>
    <xdr:to>
      <xdr:col>8</xdr:col>
      <xdr:colOff>457200</xdr:colOff>
      <xdr:row>96</xdr:row>
      <xdr:rowOff>159052</xdr:rowOff>
    </xdr:to>
    <xdr:sp macro="" textlink="">
      <xdr:nvSpPr>
        <xdr:cNvPr id="12" name="5 CuadroTexto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 flipH="1">
          <a:off x="4105275" y="17878425"/>
          <a:ext cx="2905125" cy="9782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</a:t>
          </a:r>
        </a:p>
        <a:p>
          <a:pPr algn="ctr"/>
          <a:r>
            <a:rPr lang="es-MX" sz="1200" b="1"/>
            <a:t>C.</a:t>
          </a:r>
          <a:r>
            <a:rPr lang="es-MX" sz="1200" b="1" baseline="0"/>
            <a:t> Alejandra Acosta Juárez</a:t>
          </a:r>
        </a:p>
        <a:p>
          <a:pPr algn="ctr"/>
          <a:r>
            <a:rPr lang="es-MX" sz="1200" baseline="0"/>
            <a:t>Vocal</a:t>
          </a:r>
          <a:endParaRPr lang="es-MX" sz="12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104775</xdr:rowOff>
    </xdr:from>
    <xdr:to>
      <xdr:col>1</xdr:col>
      <xdr:colOff>228599</xdr:colOff>
      <xdr:row>3</xdr:row>
      <xdr:rowOff>428625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295275"/>
          <a:ext cx="9810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16</xdr:row>
      <xdr:rowOff>28575</xdr:rowOff>
    </xdr:from>
    <xdr:to>
      <xdr:col>2</xdr:col>
      <xdr:colOff>742950</xdr:colOff>
      <xdr:row>21</xdr:row>
      <xdr:rowOff>81492</xdr:rowOff>
    </xdr:to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57150" y="3581400"/>
          <a:ext cx="2209800" cy="10054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</a:t>
          </a:r>
        </a:p>
        <a:p>
          <a:pPr algn="ctr"/>
          <a:r>
            <a:rPr lang="es-MX" sz="1200" b="1"/>
            <a:t>Mtra.</a:t>
          </a:r>
          <a:r>
            <a:rPr lang="es-MX" sz="1200" b="1" baseline="0"/>
            <a:t> Neria Martínez Aguirre</a:t>
          </a:r>
          <a:r>
            <a:rPr lang="es-MX" sz="1200" b="1"/>
            <a:t>   </a:t>
          </a:r>
        </a:p>
        <a:p>
          <a:pPr algn="ctr"/>
          <a:r>
            <a:rPr lang="es-MX" sz="1200" b="1"/>
            <a:t>  </a:t>
          </a:r>
          <a:r>
            <a:rPr lang="es-MX" sz="1200" b="0"/>
            <a:t>Presidenta</a:t>
          </a:r>
          <a:endParaRPr lang="es-MX" sz="1200"/>
        </a:p>
      </xdr:txBody>
    </xdr:sp>
    <xdr:clientData/>
  </xdr:twoCellAnchor>
  <xdr:twoCellAnchor>
    <xdr:from>
      <xdr:col>3</xdr:col>
      <xdr:colOff>209548</xdr:colOff>
      <xdr:row>16</xdr:row>
      <xdr:rowOff>47625</xdr:rowOff>
    </xdr:from>
    <xdr:to>
      <xdr:col>6</xdr:col>
      <xdr:colOff>457199</xdr:colOff>
      <xdr:row>21</xdr:row>
      <xdr:rowOff>73327</xdr:rowOff>
    </xdr:to>
    <xdr:sp macro="" textlink="">
      <xdr:nvSpPr>
        <xdr:cNvPr id="14" name="4 CuadroTexto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 flipH="1">
          <a:off x="2495548" y="3600450"/>
          <a:ext cx="2533651" cy="9782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</a:t>
          </a:r>
        </a:p>
        <a:p>
          <a:pPr algn="ctr"/>
          <a:r>
            <a:rPr lang="es-MX" sz="1200" b="1" baseline="0"/>
            <a:t>LCP. Judith Hernández Castellano</a:t>
          </a:r>
        </a:p>
        <a:p>
          <a:pPr algn="ctr"/>
          <a:r>
            <a:rPr lang="es-MX" sz="1200" baseline="0"/>
            <a:t>Tesorera</a:t>
          </a:r>
          <a:endParaRPr lang="es-MX" sz="1200"/>
        </a:p>
      </xdr:txBody>
    </xdr:sp>
    <xdr:clientData/>
  </xdr:twoCellAnchor>
  <xdr:twoCellAnchor>
    <xdr:from>
      <xdr:col>6</xdr:col>
      <xdr:colOff>733424</xdr:colOff>
      <xdr:row>16</xdr:row>
      <xdr:rowOff>95250</xdr:rowOff>
    </xdr:from>
    <xdr:to>
      <xdr:col>12</xdr:col>
      <xdr:colOff>123825</xdr:colOff>
      <xdr:row>21</xdr:row>
      <xdr:rowOff>28575</xdr:rowOff>
    </xdr:to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5305424" y="3648075"/>
          <a:ext cx="2200276" cy="885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</a:t>
          </a:r>
        </a:p>
        <a:p>
          <a:pPr algn="ctr"/>
          <a:r>
            <a:rPr lang="es-MX" sz="1100" b="1"/>
            <a:t>Lic.</a:t>
          </a:r>
          <a:r>
            <a:rPr lang="es-MX" sz="1100" b="1" baseline="0"/>
            <a:t> Divanni Chayen Rangel López</a:t>
          </a:r>
          <a:endParaRPr lang="es-MX" sz="1200" b="1"/>
        </a:p>
        <a:p>
          <a:pPr algn="ctr"/>
          <a:r>
            <a:rPr lang="es-MX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MX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Secretaria</a:t>
          </a:r>
          <a:r>
            <a:rPr lang="es-MX" sz="1200"/>
            <a:t>              </a:t>
          </a:r>
        </a:p>
      </xdr:txBody>
    </xdr:sp>
    <xdr:clientData/>
  </xdr:twoCellAnchor>
  <xdr:twoCellAnchor>
    <xdr:from>
      <xdr:col>1</xdr:col>
      <xdr:colOff>647700</xdr:colOff>
      <xdr:row>23</xdr:row>
      <xdr:rowOff>171450</xdr:rowOff>
    </xdr:from>
    <xdr:to>
      <xdr:col>4</xdr:col>
      <xdr:colOff>685800</xdr:colOff>
      <xdr:row>29</xdr:row>
      <xdr:rowOff>6652</xdr:rowOff>
    </xdr:to>
    <xdr:sp macro="" textlink="">
      <xdr:nvSpPr>
        <xdr:cNvPr id="16" name="3 CuadroText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 flipH="1">
          <a:off x="1409700" y="5438775"/>
          <a:ext cx="2324100" cy="9782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200" b="1" baseline="0"/>
            <a:t>C. Gregorio Mireles Delgado</a:t>
          </a:r>
        </a:p>
        <a:p>
          <a:pPr algn="ctr"/>
          <a:r>
            <a:rPr lang="es-MX" sz="1200" baseline="0"/>
            <a:t>Vocal</a:t>
          </a:r>
          <a:endParaRPr lang="es-MX" sz="1200"/>
        </a:p>
      </xdr:txBody>
    </xdr:sp>
    <xdr:clientData/>
  </xdr:twoCellAnchor>
  <xdr:twoCellAnchor>
    <xdr:from>
      <xdr:col>5</xdr:col>
      <xdr:colOff>742949</xdr:colOff>
      <xdr:row>23</xdr:row>
      <xdr:rowOff>161925</xdr:rowOff>
    </xdr:from>
    <xdr:to>
      <xdr:col>11</xdr:col>
      <xdr:colOff>514349</xdr:colOff>
      <xdr:row>28</xdr:row>
      <xdr:rowOff>187627</xdr:rowOff>
    </xdr:to>
    <xdr:sp macro="" textlink="">
      <xdr:nvSpPr>
        <xdr:cNvPr id="17" name="5 CuadroTexto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 flipH="1">
          <a:off x="4552949" y="5429250"/>
          <a:ext cx="2581275" cy="9782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</a:t>
          </a:r>
        </a:p>
        <a:p>
          <a:pPr algn="ctr"/>
          <a:r>
            <a:rPr lang="es-MX" sz="1200" b="1"/>
            <a:t>C.</a:t>
          </a:r>
          <a:r>
            <a:rPr lang="es-MX" sz="1200" b="1" baseline="0"/>
            <a:t> Alejandra Acosta Juárez</a:t>
          </a:r>
        </a:p>
        <a:p>
          <a:pPr algn="ctr"/>
          <a:r>
            <a:rPr lang="es-MX" sz="1200" baseline="0"/>
            <a:t>Vocal</a:t>
          </a:r>
          <a:endParaRPr lang="es-MX" sz="12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161194</xdr:colOff>
      <xdr:row>29</xdr:row>
      <xdr:rowOff>96871</xdr:rowOff>
    </xdr:from>
    <xdr:to>
      <xdr:col>3</xdr:col>
      <xdr:colOff>436248</xdr:colOff>
      <xdr:row>29</xdr:row>
      <xdr:rowOff>103410</xdr:rowOff>
    </xdr:to>
    <xdr:cxnSp macro="">
      <xdr:nvCxnSpPr>
        <xdr:cNvPr id="111" name="110 Conector recto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CxnSpPr/>
      </xdr:nvCxnSpPr>
      <xdr:spPr>
        <a:xfrm flipV="1">
          <a:off x="2447194" y="5621371"/>
          <a:ext cx="275054" cy="653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52915</xdr:colOff>
      <xdr:row>20</xdr:row>
      <xdr:rowOff>153910</xdr:rowOff>
    </xdr:from>
    <xdr:to>
      <xdr:col>2</xdr:col>
      <xdr:colOff>165460</xdr:colOff>
      <xdr:row>23</xdr:row>
      <xdr:rowOff>27688</xdr:rowOff>
    </xdr:to>
    <xdr:sp macro="" textlink="">
      <xdr:nvSpPr>
        <xdr:cNvPr id="3" name="19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52915" y="3963910"/>
          <a:ext cx="1636545" cy="445278"/>
        </a:xfrm>
        <a:prstGeom prst="roundRect">
          <a:avLst/>
        </a:prstGeom>
        <a:solidFill>
          <a:schemeClr val="accent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5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Jefe de </a:t>
          </a:r>
          <a:r>
            <a:rPr lang="es-ES" sz="10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Departamento de Comercialización</a:t>
          </a:r>
          <a:endParaRPr lang="es-ES" sz="400">
            <a:solidFill>
              <a:schemeClr val="bg1"/>
            </a:solidFill>
            <a:latin typeface="Meiryo UI" pitchFamily="34" charset="-128"/>
            <a:ea typeface="Meiryo UI" pitchFamily="34" charset="-128"/>
          </a:endParaRPr>
        </a:p>
      </xdr:txBody>
    </xdr:sp>
    <xdr:clientData/>
  </xdr:twoCellAnchor>
  <xdr:twoCellAnchor>
    <xdr:from>
      <xdr:col>10</xdr:col>
      <xdr:colOff>444041</xdr:colOff>
      <xdr:row>19</xdr:row>
      <xdr:rowOff>138232</xdr:rowOff>
    </xdr:from>
    <xdr:to>
      <xdr:col>12</xdr:col>
      <xdr:colOff>556586</xdr:colOff>
      <xdr:row>22</xdr:row>
      <xdr:rowOff>37816</xdr:rowOff>
    </xdr:to>
    <xdr:sp macro="" textlink="">
      <xdr:nvSpPr>
        <xdr:cNvPr id="4" name="25 Rectángulo redondead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8064041" y="3757732"/>
          <a:ext cx="1636545" cy="471084"/>
        </a:xfrm>
        <a:prstGeom prst="roundRect">
          <a:avLst/>
        </a:prstGeom>
        <a:solidFill>
          <a:srgbClr val="7030A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Jefe de departamento de Contabilidad</a:t>
          </a:r>
          <a:endParaRPr lang="es-ES" sz="100">
            <a:solidFill>
              <a:schemeClr val="bg1"/>
            </a:solidFill>
            <a:latin typeface="Meiryo UI" pitchFamily="34" charset="-128"/>
            <a:ea typeface="Meiryo UI" pitchFamily="34" charset="-128"/>
          </a:endParaRPr>
        </a:p>
      </xdr:txBody>
    </xdr:sp>
    <xdr:clientData/>
  </xdr:twoCellAnchor>
  <xdr:twoCellAnchor>
    <xdr:from>
      <xdr:col>0</xdr:col>
      <xdr:colOff>440030</xdr:colOff>
      <xdr:row>26</xdr:row>
      <xdr:rowOff>111959</xdr:rowOff>
    </xdr:from>
    <xdr:to>
      <xdr:col>1</xdr:col>
      <xdr:colOff>630117</xdr:colOff>
      <xdr:row>28</xdr:row>
      <xdr:rowOff>97419</xdr:rowOff>
    </xdr:to>
    <xdr:sp macro="" textlink="">
      <xdr:nvSpPr>
        <xdr:cNvPr id="5" name="26 Rectángulo redondead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440030" y="5064959"/>
          <a:ext cx="952087" cy="366460"/>
        </a:xfrm>
        <a:prstGeom prst="roundRect">
          <a:avLst/>
        </a:prstGeom>
        <a:solidFill>
          <a:schemeClr val="accent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x-none" sz="8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Cajero</a:t>
          </a:r>
        </a:p>
      </xdr:txBody>
    </xdr:sp>
    <xdr:clientData/>
  </xdr:twoCellAnchor>
  <xdr:twoCellAnchor>
    <xdr:from>
      <xdr:col>0</xdr:col>
      <xdr:colOff>462011</xdr:colOff>
      <xdr:row>29</xdr:row>
      <xdr:rowOff>18441</xdr:rowOff>
    </xdr:from>
    <xdr:to>
      <xdr:col>1</xdr:col>
      <xdr:colOff>608136</xdr:colOff>
      <xdr:row>31</xdr:row>
      <xdr:rowOff>3901</xdr:rowOff>
    </xdr:to>
    <xdr:sp macro="" textlink="">
      <xdr:nvSpPr>
        <xdr:cNvPr id="6" name="27 Rectángulo redondead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462011" y="5542941"/>
          <a:ext cx="908125" cy="366460"/>
        </a:xfrm>
        <a:prstGeom prst="roundRect">
          <a:avLst/>
        </a:prstGeom>
        <a:solidFill>
          <a:schemeClr val="accent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x-none" sz="8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Lecturista</a:t>
          </a:r>
        </a:p>
      </xdr:txBody>
    </xdr:sp>
    <xdr:clientData/>
  </xdr:twoCellAnchor>
  <xdr:twoCellAnchor>
    <xdr:from>
      <xdr:col>2</xdr:col>
      <xdr:colOff>559925</xdr:colOff>
      <xdr:row>6</xdr:row>
      <xdr:rowOff>147205</xdr:rowOff>
    </xdr:from>
    <xdr:to>
      <xdr:col>4</xdr:col>
      <xdr:colOff>138545</xdr:colOff>
      <xdr:row>9</xdr:row>
      <xdr:rowOff>10977</xdr:rowOff>
    </xdr:to>
    <xdr:sp macro="" textlink="">
      <xdr:nvSpPr>
        <xdr:cNvPr id="7" name="28 Rectángulo redondeado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2083925" y="1290205"/>
          <a:ext cx="1102620" cy="435272"/>
        </a:xfrm>
        <a:prstGeom prst="roundRect">
          <a:avLst/>
        </a:prstGeom>
        <a:solidFill>
          <a:schemeClr val="accent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8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Auxiliar</a:t>
          </a:r>
          <a:r>
            <a:rPr lang="es-MX" sz="800" baseline="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 </a:t>
          </a:r>
        </a:p>
        <a:p>
          <a:pPr algn="ctr"/>
          <a:r>
            <a:rPr lang="es-MX" sz="800" baseline="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Administrativo</a:t>
          </a:r>
          <a:endParaRPr lang="es-MX" sz="800">
            <a:solidFill>
              <a:schemeClr val="bg1"/>
            </a:solidFill>
            <a:latin typeface="Meiryo UI" pitchFamily="34" charset="-128"/>
            <a:ea typeface="Meiryo UI" pitchFamily="34" charset="-128"/>
          </a:endParaRPr>
        </a:p>
      </xdr:txBody>
    </xdr:sp>
    <xdr:clientData/>
  </xdr:twoCellAnchor>
  <xdr:twoCellAnchor>
    <xdr:from>
      <xdr:col>11</xdr:col>
      <xdr:colOff>88458</xdr:colOff>
      <xdr:row>24</xdr:row>
      <xdr:rowOff>33748</xdr:rowOff>
    </xdr:from>
    <xdr:to>
      <xdr:col>12</xdr:col>
      <xdr:colOff>598366</xdr:colOff>
      <xdr:row>27</xdr:row>
      <xdr:rowOff>0</xdr:rowOff>
    </xdr:to>
    <xdr:sp macro="" textlink="">
      <xdr:nvSpPr>
        <xdr:cNvPr id="9" name="39 Rectángulo redondead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8470458" y="4605748"/>
          <a:ext cx="1271908" cy="537752"/>
        </a:xfrm>
        <a:prstGeom prst="roundRect">
          <a:avLst/>
        </a:prstGeom>
        <a:solidFill>
          <a:srgbClr val="7030A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8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Encargado</a:t>
          </a:r>
          <a:r>
            <a:rPr lang="es-MX" sz="800" baseline="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 de  cuenta  publica e impuestos</a:t>
          </a:r>
          <a:endParaRPr lang="es-ES" sz="800">
            <a:solidFill>
              <a:schemeClr val="bg1"/>
            </a:solidFill>
            <a:latin typeface="Meiryo UI" pitchFamily="34" charset="-128"/>
            <a:ea typeface="Meiryo UI" pitchFamily="34" charset="-128"/>
          </a:endParaRPr>
        </a:p>
      </xdr:txBody>
    </xdr:sp>
    <xdr:clientData/>
  </xdr:twoCellAnchor>
  <xdr:twoCellAnchor>
    <xdr:from>
      <xdr:col>5</xdr:col>
      <xdr:colOff>194857</xdr:colOff>
      <xdr:row>17</xdr:row>
      <xdr:rowOff>143236</xdr:rowOff>
    </xdr:from>
    <xdr:to>
      <xdr:col>7</xdr:col>
      <xdr:colOff>471057</xdr:colOff>
      <xdr:row>20</xdr:row>
      <xdr:rowOff>53105</xdr:rowOff>
    </xdr:to>
    <xdr:sp macro="" textlink="">
      <xdr:nvSpPr>
        <xdr:cNvPr id="10" name="20 Rectángulo redondead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4004857" y="3381736"/>
          <a:ext cx="1800200" cy="481369"/>
        </a:xfrm>
        <a:prstGeom prst="roundRect">
          <a:avLst/>
        </a:prstGeom>
        <a:solidFill>
          <a:srgbClr val="0070C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x-none" sz="105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Coordinador de Fontanerí</a:t>
          </a:r>
          <a:r>
            <a:rPr lang="es-MX" sz="105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a</a:t>
          </a:r>
          <a:endParaRPr lang="x-none" sz="1050">
            <a:solidFill>
              <a:schemeClr val="bg1"/>
            </a:solidFill>
            <a:latin typeface="Meiryo UI" pitchFamily="34" charset="-128"/>
            <a:ea typeface="Meiryo UI" pitchFamily="34" charset="-128"/>
          </a:endParaRPr>
        </a:p>
      </xdr:txBody>
    </xdr:sp>
    <xdr:clientData/>
  </xdr:twoCellAnchor>
  <xdr:twoCellAnchor>
    <xdr:from>
      <xdr:col>5</xdr:col>
      <xdr:colOff>599795</xdr:colOff>
      <xdr:row>23</xdr:row>
      <xdr:rowOff>153840</xdr:rowOff>
    </xdr:from>
    <xdr:to>
      <xdr:col>7</xdr:col>
      <xdr:colOff>91960</xdr:colOff>
      <xdr:row>25</xdr:row>
      <xdr:rowOff>139300</xdr:rowOff>
    </xdr:to>
    <xdr:sp macro="" textlink="">
      <xdr:nvSpPr>
        <xdr:cNvPr id="11" name="29 Rectángulo redondeado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4409795" y="4535340"/>
          <a:ext cx="1016165" cy="366460"/>
        </a:xfrm>
        <a:prstGeom prst="roundRect">
          <a:avLst/>
        </a:prstGeom>
        <a:solidFill>
          <a:srgbClr val="0070C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x-none" sz="8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Supervisor de fontanería</a:t>
          </a:r>
          <a:endParaRPr lang="es-ES" sz="100">
            <a:solidFill>
              <a:schemeClr val="bg1"/>
            </a:solidFill>
            <a:latin typeface="Meiryo UI" pitchFamily="34" charset="-128"/>
            <a:ea typeface="Meiryo UI" pitchFamily="34" charset="-128"/>
          </a:endParaRPr>
        </a:p>
      </xdr:txBody>
    </xdr:sp>
    <xdr:clientData/>
  </xdr:twoCellAnchor>
  <xdr:twoCellAnchor>
    <xdr:from>
      <xdr:col>5</xdr:col>
      <xdr:colOff>584398</xdr:colOff>
      <xdr:row>26</xdr:row>
      <xdr:rowOff>86395</xdr:rowOff>
    </xdr:from>
    <xdr:to>
      <xdr:col>7</xdr:col>
      <xdr:colOff>107354</xdr:colOff>
      <xdr:row>29</xdr:row>
      <xdr:rowOff>30394</xdr:rowOff>
    </xdr:to>
    <xdr:sp macro="" textlink="">
      <xdr:nvSpPr>
        <xdr:cNvPr id="12" name="30 Rectángulo redondeado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4394398" y="5039395"/>
          <a:ext cx="1046956" cy="515499"/>
        </a:xfrm>
        <a:prstGeom prst="roundRect">
          <a:avLst/>
        </a:prstGeom>
        <a:solidFill>
          <a:srgbClr val="0070C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x-none" sz="8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Operador de Servicios de Fontanería</a:t>
          </a:r>
          <a:endParaRPr lang="es-ES" sz="800">
            <a:solidFill>
              <a:schemeClr val="bg1"/>
            </a:solidFill>
            <a:latin typeface="Meiryo UI" pitchFamily="34" charset="-128"/>
            <a:ea typeface="Meiryo UI" pitchFamily="34" charset="-128"/>
          </a:endParaRPr>
        </a:p>
      </xdr:txBody>
    </xdr:sp>
    <xdr:clientData/>
  </xdr:twoCellAnchor>
  <xdr:twoCellAnchor>
    <xdr:from>
      <xdr:col>5</xdr:col>
      <xdr:colOff>585210</xdr:colOff>
      <xdr:row>29</xdr:row>
      <xdr:rowOff>158613</xdr:rowOff>
    </xdr:from>
    <xdr:to>
      <xdr:col>7</xdr:col>
      <xdr:colOff>108166</xdr:colOff>
      <xdr:row>33</xdr:row>
      <xdr:rowOff>6213</xdr:rowOff>
    </xdr:to>
    <xdr:sp macro="" textlink="">
      <xdr:nvSpPr>
        <xdr:cNvPr id="13" name="30 Rectángulo redondeado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4395210" y="5683113"/>
          <a:ext cx="1046956" cy="609600"/>
        </a:xfrm>
        <a:prstGeom prst="roundRect">
          <a:avLst/>
        </a:prstGeom>
        <a:solidFill>
          <a:srgbClr val="0070C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x-none" sz="8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Auxiliar de Servicios  de Fontanería</a:t>
          </a:r>
          <a:endParaRPr lang="es-ES" sz="800">
            <a:solidFill>
              <a:schemeClr val="bg1"/>
            </a:solidFill>
            <a:latin typeface="Meiryo UI" pitchFamily="34" charset="-128"/>
            <a:ea typeface="Meiryo UI" pitchFamily="34" charset="-128"/>
          </a:endParaRPr>
        </a:p>
      </xdr:txBody>
    </xdr:sp>
    <xdr:clientData/>
  </xdr:twoCellAnchor>
  <xdr:twoCellAnchor>
    <xdr:from>
      <xdr:col>6</xdr:col>
      <xdr:colOff>0</xdr:colOff>
      <xdr:row>6</xdr:row>
      <xdr:rowOff>144382</xdr:rowOff>
    </xdr:from>
    <xdr:to>
      <xdr:col>6</xdr:col>
      <xdr:colOff>8461</xdr:colOff>
      <xdr:row>15</xdr:row>
      <xdr:rowOff>173182</xdr:rowOff>
    </xdr:to>
    <xdr:cxnSp macro="">
      <xdr:nvCxnSpPr>
        <xdr:cNvPr id="14" name="13 Conector recto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>
          <a:stCxn id="19" idx="2"/>
        </xdr:cNvCxnSpPr>
      </xdr:nvCxnSpPr>
      <xdr:spPr>
        <a:xfrm flipH="1">
          <a:off x="4572000" y="1287382"/>
          <a:ext cx="8461" cy="174330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34976</xdr:colOff>
      <xdr:row>17</xdr:row>
      <xdr:rowOff>148010</xdr:rowOff>
    </xdr:from>
    <xdr:to>
      <xdr:col>10</xdr:col>
      <xdr:colOff>147521</xdr:colOff>
      <xdr:row>20</xdr:row>
      <xdr:rowOff>70051</xdr:rowOff>
    </xdr:to>
    <xdr:sp macro="" textlink="">
      <xdr:nvSpPr>
        <xdr:cNvPr id="15" name="24 Rectángulo redondeado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6130976" y="3386510"/>
          <a:ext cx="1636545" cy="493541"/>
        </a:xfrm>
        <a:prstGeom prst="round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x-none" sz="105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Coordinador administrativo</a:t>
          </a:r>
          <a:endParaRPr lang="es-ES" sz="1050">
            <a:solidFill>
              <a:schemeClr val="bg1"/>
            </a:solidFill>
            <a:latin typeface="Meiryo UI" pitchFamily="34" charset="-128"/>
            <a:ea typeface="Meiryo UI" pitchFamily="34" charset="-128"/>
          </a:endParaRPr>
        </a:p>
      </xdr:txBody>
    </xdr:sp>
    <xdr:clientData/>
  </xdr:twoCellAnchor>
  <xdr:twoCellAnchor>
    <xdr:from>
      <xdr:col>8</xdr:col>
      <xdr:colOff>538742</xdr:colOff>
      <xdr:row>20</xdr:row>
      <xdr:rowOff>174050</xdr:rowOff>
    </xdr:from>
    <xdr:to>
      <xdr:col>10</xdr:col>
      <xdr:colOff>244302</xdr:colOff>
      <xdr:row>22</xdr:row>
      <xdr:rowOff>159510</xdr:rowOff>
    </xdr:to>
    <xdr:sp macro="" textlink="">
      <xdr:nvSpPr>
        <xdr:cNvPr id="16" name="36 Rectángulo redondeado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6634742" y="3984050"/>
          <a:ext cx="1229560" cy="366460"/>
        </a:xfrm>
        <a:prstGeom prst="round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8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Auxiliar de almacen</a:t>
          </a:r>
        </a:p>
      </xdr:txBody>
    </xdr:sp>
    <xdr:clientData/>
  </xdr:twoCellAnchor>
  <xdr:twoCellAnchor>
    <xdr:from>
      <xdr:col>8</xdr:col>
      <xdr:colOff>555176</xdr:colOff>
      <xdr:row>23</xdr:row>
      <xdr:rowOff>128552</xdr:rowOff>
    </xdr:from>
    <xdr:to>
      <xdr:col>10</xdr:col>
      <xdr:colOff>241788</xdr:colOff>
      <xdr:row>25</xdr:row>
      <xdr:rowOff>67939</xdr:rowOff>
    </xdr:to>
    <xdr:sp macro="" textlink="">
      <xdr:nvSpPr>
        <xdr:cNvPr id="17" name="37 Rectángulo redondeado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6651176" y="4510052"/>
          <a:ext cx="1210612" cy="320387"/>
        </a:xfrm>
        <a:prstGeom prst="round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x-none" sz="8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Auxiliar de </a:t>
          </a:r>
          <a:r>
            <a:rPr lang="es-MX" sz="8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limpieza</a:t>
          </a:r>
          <a:endParaRPr lang="x-none" sz="800">
            <a:solidFill>
              <a:schemeClr val="bg1"/>
            </a:solidFill>
            <a:latin typeface="Meiryo UI" pitchFamily="34" charset="-128"/>
            <a:ea typeface="Meiryo UI" pitchFamily="34" charset="-128"/>
          </a:endParaRPr>
        </a:p>
      </xdr:txBody>
    </xdr:sp>
    <xdr:clientData/>
  </xdr:twoCellAnchor>
  <xdr:twoCellAnchor>
    <xdr:from>
      <xdr:col>4</xdr:col>
      <xdr:colOff>571500</xdr:colOff>
      <xdr:row>1</xdr:row>
      <xdr:rowOff>43295</xdr:rowOff>
    </xdr:from>
    <xdr:to>
      <xdr:col>7</xdr:col>
      <xdr:colOff>222250</xdr:colOff>
      <xdr:row>3</xdr:row>
      <xdr:rowOff>22119</xdr:rowOff>
    </xdr:to>
    <xdr:sp macro="" textlink="">
      <xdr:nvSpPr>
        <xdr:cNvPr id="18" name="4 Rectángulo redondeado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3619500" y="233795"/>
          <a:ext cx="1936750" cy="359824"/>
        </a:xfrm>
        <a:prstGeom prst="roundRect">
          <a:avLst/>
        </a:prstGeom>
        <a:solidFill>
          <a:srgbClr val="00206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x-none" sz="10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Consejo Directivo</a:t>
          </a:r>
          <a:endParaRPr lang="es-ES" sz="1000">
            <a:solidFill>
              <a:schemeClr val="bg1"/>
            </a:solidFill>
            <a:latin typeface="Meiryo UI" pitchFamily="34" charset="-128"/>
            <a:ea typeface="Meiryo UI" pitchFamily="34" charset="-128"/>
          </a:endParaRPr>
        </a:p>
      </xdr:txBody>
    </xdr:sp>
    <xdr:clientData/>
  </xdr:twoCellAnchor>
  <xdr:twoCellAnchor>
    <xdr:from>
      <xdr:col>4</xdr:col>
      <xdr:colOff>542351</xdr:colOff>
      <xdr:row>4</xdr:row>
      <xdr:rowOff>158922</xdr:rowOff>
    </xdr:from>
    <xdr:to>
      <xdr:col>7</xdr:col>
      <xdr:colOff>236571</xdr:colOff>
      <xdr:row>6</xdr:row>
      <xdr:rowOff>144382</xdr:rowOff>
    </xdr:to>
    <xdr:sp macro="" textlink="">
      <xdr:nvSpPr>
        <xdr:cNvPr id="19" name="11 Rectángulo redondeado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3590351" y="920922"/>
          <a:ext cx="1980220" cy="366460"/>
        </a:xfrm>
        <a:prstGeom prst="roundRect">
          <a:avLst/>
        </a:prstGeom>
        <a:solidFill>
          <a:srgbClr val="00206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x-none" sz="10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Director General</a:t>
          </a:r>
        </a:p>
      </xdr:txBody>
    </xdr:sp>
    <xdr:clientData/>
  </xdr:twoCellAnchor>
  <xdr:twoCellAnchor>
    <xdr:from>
      <xdr:col>7</xdr:col>
      <xdr:colOff>10281</xdr:colOff>
      <xdr:row>8</xdr:row>
      <xdr:rowOff>182026</xdr:rowOff>
    </xdr:from>
    <xdr:to>
      <xdr:col>9</xdr:col>
      <xdr:colOff>60614</xdr:colOff>
      <xdr:row>11</xdr:row>
      <xdr:rowOff>4606</xdr:rowOff>
    </xdr:to>
    <xdr:sp macro="" textlink="">
      <xdr:nvSpPr>
        <xdr:cNvPr id="20" name="34 Rectángulo redondeado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5344281" y="1706026"/>
          <a:ext cx="1574333" cy="394080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x-none" sz="10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Unidad de Cultura del Agua</a:t>
          </a:r>
        </a:p>
      </xdr:txBody>
    </xdr:sp>
    <xdr:clientData/>
  </xdr:twoCellAnchor>
  <xdr:twoCellAnchor>
    <xdr:from>
      <xdr:col>6</xdr:col>
      <xdr:colOff>17318</xdr:colOff>
      <xdr:row>10</xdr:row>
      <xdr:rowOff>0</xdr:rowOff>
    </xdr:from>
    <xdr:to>
      <xdr:col>6</xdr:col>
      <xdr:colOff>753341</xdr:colOff>
      <xdr:row>10</xdr:row>
      <xdr:rowOff>0</xdr:rowOff>
    </xdr:to>
    <xdr:cxnSp macro="">
      <xdr:nvCxnSpPr>
        <xdr:cNvPr id="23" name="22 Conector recto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CxnSpPr/>
      </xdr:nvCxnSpPr>
      <xdr:spPr>
        <a:xfrm>
          <a:off x="4589318" y="1905000"/>
          <a:ext cx="736023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207825</xdr:colOff>
      <xdr:row>12</xdr:row>
      <xdr:rowOff>82594</xdr:rowOff>
    </xdr:from>
    <xdr:to>
      <xdr:col>14</xdr:col>
      <xdr:colOff>259779</xdr:colOff>
      <xdr:row>15</xdr:row>
      <xdr:rowOff>11537</xdr:rowOff>
    </xdr:to>
    <xdr:sp macro="" textlink="">
      <xdr:nvSpPr>
        <xdr:cNvPr id="24" name="37 Rectángulo redondeado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/>
      </xdr:nvSpPr>
      <xdr:spPr>
        <a:xfrm>
          <a:off x="8589825" y="2368594"/>
          <a:ext cx="2337954" cy="500443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x-none" sz="10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Auxiliar</a:t>
          </a:r>
          <a:r>
            <a:rPr lang="es-MX" sz="10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 de promoción</a:t>
          </a:r>
          <a:r>
            <a:rPr lang="es-MX" sz="1000" baseline="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 de cultura del agua</a:t>
          </a:r>
          <a:endParaRPr lang="x-none" sz="1000">
            <a:solidFill>
              <a:schemeClr val="bg1"/>
            </a:solidFill>
            <a:latin typeface="Meiryo UI" pitchFamily="34" charset="-128"/>
            <a:ea typeface="Meiryo UI" pitchFamily="34" charset="-128"/>
          </a:endParaRPr>
        </a:p>
      </xdr:txBody>
    </xdr:sp>
    <xdr:clientData/>
  </xdr:twoCellAnchor>
  <xdr:twoCellAnchor>
    <xdr:from>
      <xdr:col>2</xdr:col>
      <xdr:colOff>386324</xdr:colOff>
      <xdr:row>19</xdr:row>
      <xdr:rowOff>19282</xdr:rowOff>
    </xdr:from>
    <xdr:to>
      <xdr:col>4</xdr:col>
      <xdr:colOff>703823</xdr:colOff>
      <xdr:row>21</xdr:row>
      <xdr:rowOff>93365</xdr:rowOff>
    </xdr:to>
    <xdr:sp macro="" textlink="">
      <xdr:nvSpPr>
        <xdr:cNvPr id="26" name="23 Rectángulo redondeado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/>
      </xdr:nvSpPr>
      <xdr:spPr>
        <a:xfrm>
          <a:off x="1910324" y="3638782"/>
          <a:ext cx="1841499" cy="455083"/>
        </a:xfrm>
        <a:prstGeom prst="roundRect">
          <a:avLst/>
        </a:prstGeom>
        <a:solidFill>
          <a:schemeClr val="accent6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000" baseline="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Jefe del Departamento </a:t>
          </a:r>
          <a:r>
            <a:rPr lang="x-none" sz="10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Operativo (PTAR)</a:t>
          </a:r>
          <a:endParaRPr lang="es-ES" sz="100">
            <a:solidFill>
              <a:schemeClr val="bg1"/>
            </a:solidFill>
            <a:latin typeface="Meiryo UI" pitchFamily="34" charset="-128"/>
            <a:ea typeface="Meiryo UI" pitchFamily="34" charset="-128"/>
          </a:endParaRPr>
        </a:p>
      </xdr:txBody>
    </xdr:sp>
    <xdr:clientData/>
  </xdr:twoCellAnchor>
  <xdr:twoCellAnchor>
    <xdr:from>
      <xdr:col>3</xdr:col>
      <xdr:colOff>417962</xdr:colOff>
      <xdr:row>25</xdr:row>
      <xdr:rowOff>115214</xdr:rowOff>
    </xdr:from>
    <xdr:to>
      <xdr:col>4</xdr:col>
      <xdr:colOff>672127</xdr:colOff>
      <xdr:row>27</xdr:row>
      <xdr:rowOff>100674</xdr:rowOff>
    </xdr:to>
    <xdr:sp macro="" textlink="">
      <xdr:nvSpPr>
        <xdr:cNvPr id="28" name="34 Rectángulo redondeado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/>
      </xdr:nvSpPr>
      <xdr:spPr>
        <a:xfrm>
          <a:off x="2703962" y="4877714"/>
          <a:ext cx="1016165" cy="366460"/>
        </a:xfrm>
        <a:prstGeom prst="roundRect">
          <a:avLst/>
        </a:prstGeom>
        <a:solidFill>
          <a:schemeClr val="accent6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8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Operador de PTAR</a:t>
          </a:r>
        </a:p>
      </xdr:txBody>
    </xdr:sp>
    <xdr:clientData/>
  </xdr:twoCellAnchor>
  <xdr:twoCellAnchor>
    <xdr:from>
      <xdr:col>2</xdr:col>
      <xdr:colOff>693727</xdr:colOff>
      <xdr:row>22</xdr:row>
      <xdr:rowOff>171874</xdr:rowOff>
    </xdr:from>
    <xdr:to>
      <xdr:col>4</xdr:col>
      <xdr:colOff>399287</xdr:colOff>
      <xdr:row>24</xdr:row>
      <xdr:rowOff>157334</xdr:rowOff>
    </xdr:to>
    <xdr:sp macro="" textlink="">
      <xdr:nvSpPr>
        <xdr:cNvPr id="29" name="33 Rectángulo redondeado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/>
      </xdr:nvSpPr>
      <xdr:spPr>
        <a:xfrm>
          <a:off x="2217727" y="4362874"/>
          <a:ext cx="1229560" cy="366460"/>
        </a:xfrm>
        <a:prstGeom prst="roundRect">
          <a:avLst/>
        </a:prstGeom>
        <a:solidFill>
          <a:schemeClr val="accent6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x-none" sz="8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Encargado de </a:t>
          </a:r>
          <a:r>
            <a:rPr lang="es-MX" sz="8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PTAR</a:t>
          </a:r>
          <a:endParaRPr lang="es-ES" sz="800">
            <a:solidFill>
              <a:schemeClr val="bg1"/>
            </a:solidFill>
            <a:latin typeface="Meiryo UI" pitchFamily="34" charset="-128"/>
            <a:ea typeface="Meiryo UI" pitchFamily="34" charset="-128"/>
          </a:endParaRPr>
        </a:p>
      </xdr:txBody>
    </xdr:sp>
    <xdr:clientData/>
  </xdr:twoCellAnchor>
  <xdr:twoCellAnchor>
    <xdr:from>
      <xdr:col>9</xdr:col>
      <xdr:colOff>87914</xdr:colOff>
      <xdr:row>16</xdr:row>
      <xdr:rowOff>0</xdr:rowOff>
    </xdr:from>
    <xdr:to>
      <xdr:col>9</xdr:col>
      <xdr:colOff>91249</xdr:colOff>
      <xdr:row>17</xdr:row>
      <xdr:rowOff>148010</xdr:rowOff>
    </xdr:to>
    <xdr:cxnSp macro="">
      <xdr:nvCxnSpPr>
        <xdr:cNvPr id="32" name="31 Conector recto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CxnSpPr>
          <a:stCxn id="15" idx="0"/>
        </xdr:cNvCxnSpPr>
      </xdr:nvCxnSpPr>
      <xdr:spPr>
        <a:xfrm flipH="1" flipV="1">
          <a:off x="6945914" y="3048000"/>
          <a:ext cx="3335" cy="33851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332957</xdr:colOff>
      <xdr:row>15</xdr:row>
      <xdr:rowOff>187859</xdr:rowOff>
    </xdr:from>
    <xdr:to>
      <xdr:col>6</xdr:col>
      <xdr:colOff>332967</xdr:colOff>
      <xdr:row>17</xdr:row>
      <xdr:rowOff>143236</xdr:rowOff>
    </xdr:to>
    <xdr:cxnSp macro="">
      <xdr:nvCxnSpPr>
        <xdr:cNvPr id="33" name="32 Conector recto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CxnSpPr>
          <a:stCxn id="10" idx="0"/>
        </xdr:cNvCxnSpPr>
      </xdr:nvCxnSpPr>
      <xdr:spPr>
        <a:xfrm flipV="1">
          <a:off x="4904957" y="3045359"/>
          <a:ext cx="10" cy="336377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539750</xdr:colOff>
      <xdr:row>15</xdr:row>
      <xdr:rowOff>169333</xdr:rowOff>
    </xdr:from>
    <xdr:to>
      <xdr:col>3</xdr:col>
      <xdr:colOff>545074</xdr:colOff>
      <xdr:row>19</xdr:row>
      <xdr:rowOff>19282</xdr:rowOff>
    </xdr:to>
    <xdr:cxnSp macro="">
      <xdr:nvCxnSpPr>
        <xdr:cNvPr id="34" name="33 Conector recto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CxnSpPr>
          <a:stCxn id="26" idx="0"/>
        </xdr:cNvCxnSpPr>
      </xdr:nvCxnSpPr>
      <xdr:spPr>
        <a:xfrm flipH="1" flipV="1">
          <a:off x="2825750" y="3026833"/>
          <a:ext cx="5324" cy="61194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345876</xdr:colOff>
      <xdr:row>25</xdr:row>
      <xdr:rowOff>139300</xdr:rowOff>
    </xdr:from>
    <xdr:to>
      <xdr:col>6</xdr:col>
      <xdr:colOff>345878</xdr:colOff>
      <xdr:row>26</xdr:row>
      <xdr:rowOff>86395</xdr:rowOff>
    </xdr:to>
    <xdr:cxnSp macro="">
      <xdr:nvCxnSpPr>
        <xdr:cNvPr id="36" name="35 Conector recto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CxnSpPr>
          <a:stCxn id="12" idx="0"/>
          <a:endCxn id="11" idx="2"/>
        </xdr:cNvCxnSpPr>
      </xdr:nvCxnSpPr>
      <xdr:spPr>
        <a:xfrm flipV="1">
          <a:off x="4917876" y="4901800"/>
          <a:ext cx="2" cy="13759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345876</xdr:colOff>
      <xdr:row>29</xdr:row>
      <xdr:rowOff>30394</xdr:rowOff>
    </xdr:from>
    <xdr:to>
      <xdr:col>6</xdr:col>
      <xdr:colOff>346688</xdr:colOff>
      <xdr:row>29</xdr:row>
      <xdr:rowOff>158613</xdr:rowOff>
    </xdr:to>
    <xdr:cxnSp macro="">
      <xdr:nvCxnSpPr>
        <xdr:cNvPr id="37" name="36 Conector recto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CxnSpPr>
          <a:stCxn id="13" idx="0"/>
          <a:endCxn id="12" idx="2"/>
        </xdr:cNvCxnSpPr>
      </xdr:nvCxnSpPr>
      <xdr:spPr>
        <a:xfrm flipH="1" flipV="1">
          <a:off x="4917876" y="5554894"/>
          <a:ext cx="812" cy="12821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339768</xdr:colOff>
      <xdr:row>20</xdr:row>
      <xdr:rowOff>78677</xdr:rowOff>
    </xdr:from>
    <xdr:to>
      <xdr:col>8</xdr:col>
      <xdr:colOff>344365</xdr:colOff>
      <xdr:row>24</xdr:row>
      <xdr:rowOff>80596</xdr:rowOff>
    </xdr:to>
    <xdr:cxnSp macro="">
      <xdr:nvCxnSpPr>
        <xdr:cNvPr id="39" name="38 Conector recto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CxnSpPr/>
      </xdr:nvCxnSpPr>
      <xdr:spPr>
        <a:xfrm flipH="1" flipV="1">
          <a:off x="6435768" y="3888677"/>
          <a:ext cx="4597" cy="76391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175848</xdr:colOff>
      <xdr:row>24</xdr:row>
      <xdr:rowOff>156852</xdr:rowOff>
    </xdr:from>
    <xdr:to>
      <xdr:col>3</xdr:col>
      <xdr:colOff>179543</xdr:colOff>
      <xdr:row>29</xdr:row>
      <xdr:rowOff>111524</xdr:rowOff>
    </xdr:to>
    <xdr:cxnSp macro="">
      <xdr:nvCxnSpPr>
        <xdr:cNvPr id="42" name="41 Conector recto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CxnSpPr/>
      </xdr:nvCxnSpPr>
      <xdr:spPr>
        <a:xfrm flipV="1">
          <a:off x="2461848" y="4728852"/>
          <a:ext cx="3695" cy="907172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545074</xdr:colOff>
      <xdr:row>21</xdr:row>
      <xdr:rowOff>93365</xdr:rowOff>
    </xdr:from>
    <xdr:to>
      <xdr:col>3</xdr:col>
      <xdr:colOff>546507</xdr:colOff>
      <xdr:row>22</xdr:row>
      <xdr:rowOff>171874</xdr:rowOff>
    </xdr:to>
    <xdr:cxnSp macro="">
      <xdr:nvCxnSpPr>
        <xdr:cNvPr id="43" name="42 Conector recto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CxnSpPr>
          <a:stCxn id="29" idx="0"/>
          <a:endCxn id="26" idx="2"/>
        </xdr:cNvCxnSpPr>
      </xdr:nvCxnSpPr>
      <xdr:spPr>
        <a:xfrm flipH="1" flipV="1">
          <a:off x="2831074" y="4093865"/>
          <a:ext cx="1433" cy="26900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401371</xdr:colOff>
      <xdr:row>24</xdr:row>
      <xdr:rowOff>5820</xdr:rowOff>
    </xdr:from>
    <xdr:to>
      <xdr:col>1</xdr:col>
      <xdr:colOff>655536</xdr:colOff>
      <xdr:row>25</xdr:row>
      <xdr:rowOff>181780</xdr:rowOff>
    </xdr:to>
    <xdr:sp macro="" textlink="">
      <xdr:nvSpPr>
        <xdr:cNvPr id="44" name="26 Rectángulo redondeado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/>
      </xdr:nvSpPr>
      <xdr:spPr>
        <a:xfrm>
          <a:off x="401371" y="4577820"/>
          <a:ext cx="1016165" cy="366460"/>
        </a:xfrm>
        <a:prstGeom prst="roundRect">
          <a:avLst/>
        </a:prstGeom>
        <a:solidFill>
          <a:schemeClr val="accent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x-none" sz="8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Auxiliar Administrativo</a:t>
          </a:r>
          <a:endParaRPr lang="es-ES" sz="800">
            <a:solidFill>
              <a:schemeClr val="bg1"/>
            </a:solidFill>
            <a:latin typeface="Meiryo UI" pitchFamily="34" charset="-128"/>
            <a:ea typeface="Meiryo UI" pitchFamily="34" charset="-128"/>
          </a:endParaRPr>
        </a:p>
      </xdr:txBody>
    </xdr:sp>
    <xdr:clientData/>
  </xdr:twoCellAnchor>
  <xdr:twoCellAnchor>
    <xdr:from>
      <xdr:col>0</xdr:col>
      <xdr:colOff>263771</xdr:colOff>
      <xdr:row>23</xdr:row>
      <xdr:rowOff>30694</xdr:rowOff>
    </xdr:from>
    <xdr:to>
      <xdr:col>0</xdr:col>
      <xdr:colOff>270246</xdr:colOff>
      <xdr:row>32</xdr:row>
      <xdr:rowOff>102577</xdr:rowOff>
    </xdr:to>
    <xdr:cxnSp macro="">
      <xdr:nvCxnSpPr>
        <xdr:cNvPr id="45" name="44 Conector recto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CxnSpPr/>
      </xdr:nvCxnSpPr>
      <xdr:spPr>
        <a:xfrm flipV="1">
          <a:off x="263771" y="4412194"/>
          <a:ext cx="6475" cy="1786383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265646</xdr:colOff>
      <xdr:row>27</xdr:row>
      <xdr:rowOff>104689</xdr:rowOff>
    </xdr:from>
    <xdr:to>
      <xdr:col>0</xdr:col>
      <xdr:colOff>440030</xdr:colOff>
      <xdr:row>27</xdr:row>
      <xdr:rowOff>111025</xdr:rowOff>
    </xdr:to>
    <xdr:cxnSp macro="">
      <xdr:nvCxnSpPr>
        <xdr:cNvPr id="48" name="47 Conector recto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CxnSpPr>
          <a:endCxn id="5" idx="1"/>
        </xdr:cNvCxnSpPr>
      </xdr:nvCxnSpPr>
      <xdr:spPr>
        <a:xfrm flipV="1">
          <a:off x="265646" y="5248189"/>
          <a:ext cx="174384" cy="6336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759876</xdr:colOff>
      <xdr:row>3</xdr:row>
      <xdr:rowOff>32703</xdr:rowOff>
    </xdr:from>
    <xdr:to>
      <xdr:col>5</xdr:col>
      <xdr:colOff>759877</xdr:colOff>
      <xdr:row>4</xdr:row>
      <xdr:rowOff>169506</xdr:rowOff>
    </xdr:to>
    <xdr:cxnSp macro="">
      <xdr:nvCxnSpPr>
        <xdr:cNvPr id="50" name="49 Conector recto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CxnSpPr/>
      </xdr:nvCxnSpPr>
      <xdr:spPr>
        <a:xfrm flipH="1" flipV="1">
          <a:off x="4569876" y="604203"/>
          <a:ext cx="1" cy="327303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607124</xdr:colOff>
      <xdr:row>20</xdr:row>
      <xdr:rowOff>178015</xdr:rowOff>
    </xdr:from>
    <xdr:to>
      <xdr:col>7</xdr:col>
      <xdr:colOff>99289</xdr:colOff>
      <xdr:row>22</xdr:row>
      <xdr:rowOff>163475</xdr:rowOff>
    </xdr:to>
    <xdr:sp macro="" textlink="">
      <xdr:nvSpPr>
        <xdr:cNvPr id="70" name="29 Rectángulo redondeado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/>
      </xdr:nvSpPr>
      <xdr:spPr>
        <a:xfrm>
          <a:off x="4417124" y="3988015"/>
          <a:ext cx="1016165" cy="366460"/>
        </a:xfrm>
        <a:prstGeom prst="roundRect">
          <a:avLst/>
        </a:prstGeom>
        <a:solidFill>
          <a:srgbClr val="0070C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8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Encargado de Área</a:t>
          </a:r>
          <a:r>
            <a:rPr lang="es-MX" sz="800" baseline="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 operativa</a:t>
          </a:r>
          <a:endParaRPr lang="es-ES" sz="100">
            <a:solidFill>
              <a:schemeClr val="bg1"/>
            </a:solidFill>
            <a:latin typeface="Meiryo UI" pitchFamily="34" charset="-128"/>
            <a:ea typeface="Meiryo UI" pitchFamily="34" charset="-128"/>
          </a:endParaRPr>
        </a:p>
      </xdr:txBody>
    </xdr:sp>
    <xdr:clientData/>
  </xdr:twoCellAnchor>
  <xdr:twoCellAnchor>
    <xdr:from>
      <xdr:col>3</xdr:col>
      <xdr:colOff>401784</xdr:colOff>
      <xdr:row>28</xdr:row>
      <xdr:rowOff>82734</xdr:rowOff>
    </xdr:from>
    <xdr:to>
      <xdr:col>4</xdr:col>
      <xdr:colOff>655949</xdr:colOff>
      <xdr:row>30</xdr:row>
      <xdr:rowOff>68194</xdr:rowOff>
    </xdr:to>
    <xdr:sp macro="" textlink="">
      <xdr:nvSpPr>
        <xdr:cNvPr id="53" name="34 Rectángulo redondeado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/>
      </xdr:nvSpPr>
      <xdr:spPr>
        <a:xfrm>
          <a:off x="2687784" y="5416734"/>
          <a:ext cx="1016165" cy="366460"/>
        </a:xfrm>
        <a:prstGeom prst="roundRect">
          <a:avLst/>
        </a:prstGeom>
        <a:solidFill>
          <a:schemeClr val="accent6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8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Operador de vehiculo</a:t>
          </a:r>
        </a:p>
      </xdr:txBody>
    </xdr:sp>
    <xdr:clientData/>
  </xdr:twoCellAnchor>
  <xdr:twoCellAnchor>
    <xdr:from>
      <xdr:col>3</xdr:col>
      <xdr:colOff>190501</xdr:colOff>
      <xdr:row>26</xdr:row>
      <xdr:rowOff>104197</xdr:rowOff>
    </xdr:from>
    <xdr:to>
      <xdr:col>3</xdr:col>
      <xdr:colOff>417962</xdr:colOff>
      <xdr:row>26</xdr:row>
      <xdr:rowOff>107944</xdr:rowOff>
    </xdr:to>
    <xdr:cxnSp macro="">
      <xdr:nvCxnSpPr>
        <xdr:cNvPr id="57" name="56 Conector recto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CxnSpPr>
          <a:endCxn id="28" idx="1"/>
        </xdr:cNvCxnSpPr>
      </xdr:nvCxnSpPr>
      <xdr:spPr>
        <a:xfrm>
          <a:off x="2476501" y="5057197"/>
          <a:ext cx="227461" cy="3747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116417</xdr:colOff>
      <xdr:row>16</xdr:row>
      <xdr:rowOff>0</xdr:rowOff>
    </xdr:from>
    <xdr:to>
      <xdr:col>11</xdr:col>
      <xdr:colOff>490904</xdr:colOff>
      <xdr:row>16</xdr:row>
      <xdr:rowOff>7327</xdr:rowOff>
    </xdr:to>
    <xdr:cxnSp macro="">
      <xdr:nvCxnSpPr>
        <xdr:cNvPr id="65" name="64 Conector recto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CxnSpPr/>
      </xdr:nvCxnSpPr>
      <xdr:spPr>
        <a:xfrm>
          <a:off x="878417" y="3048000"/>
          <a:ext cx="7994487" cy="7327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103909</xdr:colOff>
      <xdr:row>15</xdr:row>
      <xdr:rowOff>179918</xdr:rowOff>
    </xdr:from>
    <xdr:to>
      <xdr:col>1</xdr:col>
      <xdr:colOff>105834</xdr:colOff>
      <xdr:row>20</xdr:row>
      <xdr:rowOff>173182</xdr:rowOff>
    </xdr:to>
    <xdr:cxnSp macro="">
      <xdr:nvCxnSpPr>
        <xdr:cNvPr id="69" name="68 Conector recto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CxnSpPr/>
      </xdr:nvCxnSpPr>
      <xdr:spPr>
        <a:xfrm flipV="1">
          <a:off x="865909" y="3037418"/>
          <a:ext cx="1925" cy="945764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263771</xdr:colOff>
      <xdr:row>24</xdr:row>
      <xdr:rowOff>189050</xdr:rowOff>
    </xdr:from>
    <xdr:to>
      <xdr:col>0</xdr:col>
      <xdr:colOff>401371</xdr:colOff>
      <xdr:row>25</xdr:row>
      <xdr:rowOff>0</xdr:rowOff>
    </xdr:to>
    <xdr:cxnSp macro="">
      <xdr:nvCxnSpPr>
        <xdr:cNvPr id="82" name="81 Conector recto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CxnSpPr>
          <a:endCxn id="44" idx="1"/>
        </xdr:cNvCxnSpPr>
      </xdr:nvCxnSpPr>
      <xdr:spPr>
        <a:xfrm flipV="1">
          <a:off x="263771" y="4761050"/>
          <a:ext cx="137600" cy="145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316065</xdr:colOff>
      <xdr:row>10</xdr:row>
      <xdr:rowOff>181839</xdr:rowOff>
    </xdr:from>
    <xdr:to>
      <xdr:col>12</xdr:col>
      <xdr:colOff>320393</xdr:colOff>
      <xdr:row>12</xdr:row>
      <xdr:rowOff>60613</xdr:rowOff>
    </xdr:to>
    <xdr:cxnSp macro="">
      <xdr:nvCxnSpPr>
        <xdr:cNvPr id="74" name="73 Conector recto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CxnSpPr/>
      </xdr:nvCxnSpPr>
      <xdr:spPr>
        <a:xfrm flipH="1" flipV="1">
          <a:off x="9460065" y="2086839"/>
          <a:ext cx="4328" cy="259774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60614</xdr:colOff>
      <xdr:row>9</xdr:row>
      <xdr:rowOff>188566</xdr:rowOff>
    </xdr:from>
    <xdr:to>
      <xdr:col>9</xdr:col>
      <xdr:colOff>467591</xdr:colOff>
      <xdr:row>10</xdr:row>
      <xdr:rowOff>0</xdr:rowOff>
    </xdr:to>
    <xdr:cxnSp macro="">
      <xdr:nvCxnSpPr>
        <xdr:cNvPr id="54" name="53 Conector recto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CxnSpPr>
          <a:endCxn id="20" idx="3"/>
        </xdr:cNvCxnSpPr>
      </xdr:nvCxnSpPr>
      <xdr:spPr>
        <a:xfrm flipH="1" flipV="1">
          <a:off x="6918614" y="1903066"/>
          <a:ext cx="406977" cy="1934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484909</xdr:colOff>
      <xdr:row>16</xdr:row>
      <xdr:rowOff>25977</xdr:rowOff>
    </xdr:from>
    <xdr:to>
      <xdr:col>11</xdr:col>
      <xdr:colOff>500314</xdr:colOff>
      <xdr:row>19</xdr:row>
      <xdr:rowOff>138232</xdr:rowOff>
    </xdr:to>
    <xdr:cxnSp macro="">
      <xdr:nvCxnSpPr>
        <xdr:cNvPr id="75" name="74 Conector recto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CxnSpPr>
          <a:stCxn id="4" idx="0"/>
        </xdr:cNvCxnSpPr>
      </xdr:nvCxnSpPr>
      <xdr:spPr>
        <a:xfrm flipH="1" flipV="1">
          <a:off x="8866909" y="3073977"/>
          <a:ext cx="15405" cy="68375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329712</xdr:colOff>
      <xdr:row>24</xdr:row>
      <xdr:rowOff>76603</xdr:rowOff>
    </xdr:from>
    <xdr:to>
      <xdr:col>8</xdr:col>
      <xdr:colOff>571505</xdr:colOff>
      <xdr:row>24</xdr:row>
      <xdr:rowOff>80596</xdr:rowOff>
    </xdr:to>
    <xdr:cxnSp macro="">
      <xdr:nvCxnSpPr>
        <xdr:cNvPr id="92" name="91 Conector recto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CxnSpPr/>
      </xdr:nvCxnSpPr>
      <xdr:spPr>
        <a:xfrm flipH="1">
          <a:off x="6425712" y="4648603"/>
          <a:ext cx="241793" cy="3993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329046</xdr:colOff>
      <xdr:row>21</xdr:row>
      <xdr:rowOff>171850</xdr:rowOff>
    </xdr:from>
    <xdr:to>
      <xdr:col>8</xdr:col>
      <xdr:colOff>528205</xdr:colOff>
      <xdr:row>21</xdr:row>
      <xdr:rowOff>171850</xdr:rowOff>
    </xdr:to>
    <xdr:cxnSp macro="">
      <xdr:nvCxnSpPr>
        <xdr:cNvPr id="100" name="99 Conector recto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CxnSpPr/>
      </xdr:nvCxnSpPr>
      <xdr:spPr>
        <a:xfrm flipH="1">
          <a:off x="6425046" y="4172350"/>
          <a:ext cx="19915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278833</xdr:colOff>
      <xdr:row>29</xdr:row>
      <xdr:rowOff>183823</xdr:rowOff>
    </xdr:from>
    <xdr:to>
      <xdr:col>0</xdr:col>
      <xdr:colOff>453217</xdr:colOff>
      <xdr:row>29</xdr:row>
      <xdr:rowOff>190159</xdr:rowOff>
    </xdr:to>
    <xdr:cxnSp macro="">
      <xdr:nvCxnSpPr>
        <xdr:cNvPr id="107" name="106 Conector recto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CxnSpPr/>
      </xdr:nvCxnSpPr>
      <xdr:spPr>
        <a:xfrm flipV="1">
          <a:off x="278833" y="5708323"/>
          <a:ext cx="174384" cy="6336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263771</xdr:colOff>
      <xdr:row>32</xdr:row>
      <xdr:rowOff>87923</xdr:rowOff>
    </xdr:from>
    <xdr:to>
      <xdr:col>0</xdr:col>
      <xdr:colOff>438155</xdr:colOff>
      <xdr:row>32</xdr:row>
      <xdr:rowOff>94259</xdr:rowOff>
    </xdr:to>
    <xdr:cxnSp macro="">
      <xdr:nvCxnSpPr>
        <xdr:cNvPr id="109" name="108 Conector recto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CxnSpPr/>
      </xdr:nvCxnSpPr>
      <xdr:spPr>
        <a:xfrm flipV="1">
          <a:off x="263771" y="6183923"/>
          <a:ext cx="174384" cy="6336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337040</xdr:colOff>
      <xdr:row>22</xdr:row>
      <xdr:rowOff>175848</xdr:rowOff>
    </xdr:from>
    <xdr:to>
      <xdr:col>6</xdr:col>
      <xdr:colOff>345878</xdr:colOff>
      <xdr:row>23</xdr:row>
      <xdr:rowOff>153840</xdr:rowOff>
    </xdr:to>
    <xdr:cxnSp macro="">
      <xdr:nvCxnSpPr>
        <xdr:cNvPr id="127" name="126 Conector recto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CxnSpPr>
          <a:stCxn id="11" idx="0"/>
        </xdr:cNvCxnSpPr>
      </xdr:nvCxnSpPr>
      <xdr:spPr>
        <a:xfrm flipH="1" flipV="1">
          <a:off x="4909040" y="4366848"/>
          <a:ext cx="8838" cy="168492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306265</xdr:colOff>
      <xdr:row>20</xdr:row>
      <xdr:rowOff>42496</xdr:rowOff>
    </xdr:from>
    <xdr:to>
      <xdr:col>6</xdr:col>
      <xdr:colOff>306267</xdr:colOff>
      <xdr:row>20</xdr:row>
      <xdr:rowOff>180091</xdr:rowOff>
    </xdr:to>
    <xdr:cxnSp macro="">
      <xdr:nvCxnSpPr>
        <xdr:cNvPr id="128" name="127 Conector recto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CxnSpPr/>
      </xdr:nvCxnSpPr>
      <xdr:spPr>
        <a:xfrm flipV="1">
          <a:off x="4878265" y="3852496"/>
          <a:ext cx="2" cy="13759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500314</xdr:colOff>
      <xdr:row>22</xdr:row>
      <xdr:rowOff>37816</xdr:rowOff>
    </xdr:from>
    <xdr:to>
      <xdr:col>11</xdr:col>
      <xdr:colOff>510886</xdr:colOff>
      <xdr:row>24</xdr:row>
      <xdr:rowOff>34636</xdr:rowOff>
    </xdr:to>
    <xdr:cxnSp macro="">
      <xdr:nvCxnSpPr>
        <xdr:cNvPr id="58" name="38 Conector recto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CxnSpPr>
          <a:endCxn id="4" idx="2"/>
        </xdr:cNvCxnSpPr>
      </xdr:nvCxnSpPr>
      <xdr:spPr>
        <a:xfrm flipH="1" flipV="1">
          <a:off x="8882314" y="4228816"/>
          <a:ext cx="10572" cy="37782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476250</xdr:colOff>
      <xdr:row>8</xdr:row>
      <xdr:rowOff>138546</xdr:rowOff>
    </xdr:from>
    <xdr:to>
      <xdr:col>12</xdr:col>
      <xdr:colOff>528204</xdr:colOff>
      <xdr:row>11</xdr:row>
      <xdr:rowOff>67489</xdr:rowOff>
    </xdr:to>
    <xdr:sp macro="" textlink="">
      <xdr:nvSpPr>
        <xdr:cNvPr id="66" name="37 Rectángulo redondeado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/>
      </xdr:nvSpPr>
      <xdr:spPr>
        <a:xfrm>
          <a:off x="7334250" y="1662546"/>
          <a:ext cx="2337954" cy="500443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0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Encargada</a:t>
          </a:r>
          <a:r>
            <a:rPr lang="es-MX" sz="1000" baseline="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 de Área de cultura del Agua</a:t>
          </a:r>
          <a:endParaRPr lang="x-none" sz="1000">
            <a:solidFill>
              <a:schemeClr val="bg1"/>
            </a:solidFill>
            <a:latin typeface="Meiryo UI" pitchFamily="34" charset="-128"/>
            <a:ea typeface="Meiryo UI" pitchFamily="34" charset="-128"/>
          </a:endParaRPr>
        </a:p>
      </xdr:txBody>
    </xdr:sp>
    <xdr:clientData/>
  </xdr:twoCellAnchor>
  <xdr:twoCellAnchor>
    <xdr:from>
      <xdr:col>4</xdr:col>
      <xdr:colOff>138545</xdr:colOff>
      <xdr:row>5</xdr:row>
      <xdr:rowOff>151652</xdr:rowOff>
    </xdr:from>
    <xdr:to>
      <xdr:col>4</xdr:col>
      <xdr:colOff>542351</xdr:colOff>
      <xdr:row>7</xdr:row>
      <xdr:rowOff>174341</xdr:rowOff>
    </xdr:to>
    <xdr:cxnSp macro="">
      <xdr:nvCxnSpPr>
        <xdr:cNvPr id="56" name="44 Conector recto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CxnSpPr>
          <a:stCxn id="19" idx="1"/>
          <a:endCxn id="7" idx="3"/>
        </xdr:cNvCxnSpPr>
      </xdr:nvCxnSpPr>
      <xdr:spPr>
        <a:xfrm flipH="1">
          <a:off x="3186545" y="1104152"/>
          <a:ext cx="403806" cy="40368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536864</xdr:colOff>
      <xdr:row>10</xdr:row>
      <xdr:rowOff>173182</xdr:rowOff>
    </xdr:from>
    <xdr:to>
      <xdr:col>4</xdr:col>
      <xdr:colOff>115484</xdr:colOff>
      <xdr:row>13</xdr:row>
      <xdr:rowOff>36954</xdr:rowOff>
    </xdr:to>
    <xdr:sp macro="" textlink="">
      <xdr:nvSpPr>
        <xdr:cNvPr id="62" name="28 Rectángulo redondeado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/>
      </xdr:nvSpPr>
      <xdr:spPr>
        <a:xfrm>
          <a:off x="2060864" y="2078182"/>
          <a:ext cx="1102620" cy="435272"/>
        </a:xfrm>
        <a:prstGeom prst="roundRect">
          <a:avLst/>
        </a:prstGeom>
        <a:solidFill>
          <a:schemeClr val="accent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8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Auxiliar</a:t>
          </a:r>
          <a:r>
            <a:rPr lang="es-MX" sz="800" baseline="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 </a:t>
          </a:r>
        </a:p>
        <a:p>
          <a:pPr algn="ctr"/>
          <a:r>
            <a:rPr lang="es-MX" sz="800" baseline="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Administrativo</a:t>
          </a:r>
          <a:endParaRPr lang="es-MX" sz="800">
            <a:solidFill>
              <a:schemeClr val="bg1"/>
            </a:solidFill>
            <a:latin typeface="Meiryo UI" pitchFamily="34" charset="-128"/>
            <a:ea typeface="Meiryo UI" pitchFamily="34" charset="-128"/>
          </a:endParaRPr>
        </a:p>
      </xdr:txBody>
    </xdr:sp>
    <xdr:clientData/>
  </xdr:twoCellAnchor>
  <xdr:twoCellAnchor>
    <xdr:from>
      <xdr:col>3</xdr:col>
      <xdr:colOff>346364</xdr:colOff>
      <xdr:row>9</xdr:row>
      <xdr:rowOff>10977</xdr:rowOff>
    </xdr:from>
    <xdr:to>
      <xdr:col>3</xdr:col>
      <xdr:colOff>349235</xdr:colOff>
      <xdr:row>10</xdr:row>
      <xdr:rowOff>112568</xdr:rowOff>
    </xdr:to>
    <xdr:cxnSp macro="">
      <xdr:nvCxnSpPr>
        <xdr:cNvPr id="63" name="44 Conector recto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CxnSpPr>
          <a:stCxn id="7" idx="2"/>
        </xdr:cNvCxnSpPr>
      </xdr:nvCxnSpPr>
      <xdr:spPr>
        <a:xfrm flipH="1">
          <a:off x="2632364" y="1725477"/>
          <a:ext cx="2871" cy="292091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450272</xdr:colOff>
      <xdr:row>31</xdr:row>
      <xdr:rowOff>103909</xdr:rowOff>
    </xdr:from>
    <xdr:to>
      <xdr:col>1</xdr:col>
      <xdr:colOff>596397</xdr:colOff>
      <xdr:row>33</xdr:row>
      <xdr:rowOff>89369</xdr:rowOff>
    </xdr:to>
    <xdr:sp macro="" textlink="">
      <xdr:nvSpPr>
        <xdr:cNvPr id="71" name="27 Rectángulo redondeado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/>
      </xdr:nvSpPr>
      <xdr:spPr>
        <a:xfrm>
          <a:off x="450272" y="6009409"/>
          <a:ext cx="908125" cy="366460"/>
        </a:xfrm>
        <a:prstGeom prst="roundRect">
          <a:avLst/>
        </a:prstGeom>
        <a:solidFill>
          <a:schemeClr val="accent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8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Capturista</a:t>
          </a:r>
          <a:r>
            <a:rPr lang="es-MX" sz="800" baseline="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 de Lecturas</a:t>
          </a:r>
          <a:endParaRPr lang="x-none" sz="800">
            <a:solidFill>
              <a:schemeClr val="bg1"/>
            </a:solidFill>
            <a:latin typeface="Meiryo UI" pitchFamily="34" charset="-128"/>
            <a:ea typeface="Meiryo UI" pitchFamily="34" charset="-128"/>
          </a:endParaRPr>
        </a:p>
      </xdr:txBody>
    </xdr:sp>
    <xdr:clientData/>
  </xdr:twoCellAnchor>
  <xdr:twoCellAnchor>
    <xdr:from>
      <xdr:col>11</xdr:col>
      <xdr:colOff>724412</xdr:colOff>
      <xdr:row>27</xdr:row>
      <xdr:rowOff>0</xdr:rowOff>
    </xdr:from>
    <xdr:to>
      <xdr:col>11</xdr:col>
      <xdr:colOff>727364</xdr:colOff>
      <xdr:row>29</xdr:row>
      <xdr:rowOff>8659</xdr:rowOff>
    </xdr:to>
    <xdr:cxnSp macro="">
      <xdr:nvCxnSpPr>
        <xdr:cNvPr id="72" name="38 Conector recto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CxnSpPr>
          <a:endCxn id="9" idx="2"/>
        </xdr:cNvCxnSpPr>
      </xdr:nvCxnSpPr>
      <xdr:spPr>
        <a:xfrm flipH="1" flipV="1">
          <a:off x="9106412" y="5143500"/>
          <a:ext cx="2952" cy="38965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138545</xdr:colOff>
      <xdr:row>29</xdr:row>
      <xdr:rowOff>34636</xdr:rowOff>
    </xdr:from>
    <xdr:to>
      <xdr:col>12</xdr:col>
      <xdr:colOff>648453</xdr:colOff>
      <xdr:row>32</xdr:row>
      <xdr:rowOff>888</xdr:rowOff>
    </xdr:to>
    <xdr:sp macro="" textlink="">
      <xdr:nvSpPr>
        <xdr:cNvPr id="78" name="39 Rectángulo redondeado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/>
      </xdr:nvSpPr>
      <xdr:spPr>
        <a:xfrm>
          <a:off x="8520545" y="5559136"/>
          <a:ext cx="1271908" cy="537752"/>
        </a:xfrm>
        <a:prstGeom prst="roundRect">
          <a:avLst/>
        </a:prstGeom>
        <a:solidFill>
          <a:srgbClr val="7030A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80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Auxiliar</a:t>
          </a:r>
          <a:r>
            <a:rPr lang="es-MX" sz="800" baseline="0">
              <a:solidFill>
                <a:schemeClr val="bg1"/>
              </a:solidFill>
              <a:latin typeface="Meiryo UI" pitchFamily="34" charset="-128"/>
              <a:ea typeface="Meiryo UI" pitchFamily="34" charset="-128"/>
            </a:rPr>
            <a:t> Contable</a:t>
          </a:r>
          <a:endParaRPr lang="es-ES" sz="800">
            <a:solidFill>
              <a:schemeClr val="bg1"/>
            </a:solidFill>
            <a:latin typeface="Meiryo UI" pitchFamily="34" charset="-128"/>
            <a:ea typeface="Meiryo UI" pitchFamily="34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apa\OneDrive\Documentos\2021%20PRESUPUESTO%20DE%20INGRESOS%20Y%20EGRESOS\1RA%20PRON%20ING%20Y%20PROY%20PPTO%20EGRES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 2021"/>
      <sheetName val="ANALITICO DE PLAZAS"/>
      <sheetName val="PLANTILLA 2021"/>
      <sheetName val="PRES EGRESO POR PROG 2021"/>
      <sheetName val="PRESU. EGRESOS POR GASTO-1 2021"/>
      <sheetName val="CLASI. POR TIPO DE GASTO"/>
      <sheetName val="CLASIFICACION ADMINISTRATIVA"/>
      <sheetName val="organigrama"/>
    </sheetNames>
    <sheetDataSet>
      <sheetData sheetId="0"/>
      <sheetData sheetId="1"/>
      <sheetData sheetId="2"/>
      <sheetData sheetId="3">
        <row r="49">
          <cell r="M49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FF00"/>
    <pageSetUpPr fitToPage="1"/>
  </sheetPr>
  <dimension ref="B1:S127"/>
  <sheetViews>
    <sheetView tabSelected="1" topLeftCell="B104" zoomScale="95" zoomScaleNormal="95" zoomScaleSheetLayoutView="90" workbookViewId="0">
      <selection activeCell="B1" sqref="B1:M138"/>
    </sheetView>
  </sheetViews>
  <sheetFormatPr baseColWidth="10" defaultRowHeight="15" x14ac:dyDescent="0.25"/>
  <cols>
    <col min="1" max="1" width="9.5703125" customWidth="1"/>
    <col min="2" max="2" width="32" customWidth="1"/>
    <col min="3" max="3" width="79.42578125" customWidth="1"/>
    <col min="4" max="4" width="20" hidden="1" customWidth="1"/>
    <col min="5" max="5" width="17.5703125" hidden="1" customWidth="1"/>
    <col min="6" max="6" width="17.42578125" hidden="1" customWidth="1"/>
    <col min="7" max="7" width="19.28515625" hidden="1" customWidth="1"/>
    <col min="8" max="8" width="14" hidden="1" customWidth="1"/>
    <col min="9" max="9" width="13.42578125" hidden="1" customWidth="1"/>
    <col min="10" max="10" width="21.140625" customWidth="1"/>
    <col min="11" max="11" width="13.42578125" bestFit="1" customWidth="1"/>
    <col min="12" max="12" width="16" customWidth="1"/>
    <col min="13" max="13" width="20.42578125" customWidth="1"/>
    <col min="14" max="14" width="20" customWidth="1"/>
    <col min="15" max="15" width="14.28515625" customWidth="1"/>
    <col min="17" max="18" width="13.42578125" bestFit="1" customWidth="1"/>
    <col min="19" max="19" width="14.7109375" customWidth="1"/>
  </cols>
  <sheetData>
    <row r="1" spans="2:19" ht="23.25" customHeight="1" x14ac:dyDescent="0.25">
      <c r="B1" s="408" t="s">
        <v>561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</row>
    <row r="2" spans="2:19" ht="33.75" customHeight="1" x14ac:dyDescent="0.25"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</row>
    <row r="4" spans="2:19" ht="25.5" customHeight="1" x14ac:dyDescent="0.25">
      <c r="B4" s="217" t="s">
        <v>148</v>
      </c>
      <c r="C4" s="278" t="s">
        <v>149</v>
      </c>
      <c r="D4" s="279" t="s">
        <v>538</v>
      </c>
      <c r="E4" s="279" t="s">
        <v>528</v>
      </c>
      <c r="F4" s="279" t="s">
        <v>529</v>
      </c>
      <c r="G4" s="279" t="s">
        <v>544</v>
      </c>
      <c r="H4" s="279" t="s">
        <v>528</v>
      </c>
      <c r="I4" s="344" t="s">
        <v>529</v>
      </c>
      <c r="J4" s="279" t="s">
        <v>555</v>
      </c>
      <c r="K4" s="279" t="s">
        <v>528</v>
      </c>
      <c r="L4" s="279" t="s">
        <v>558</v>
      </c>
      <c r="M4" s="279" t="s">
        <v>559</v>
      </c>
      <c r="N4" s="406"/>
      <c r="O4" s="401" t="s">
        <v>557</v>
      </c>
    </row>
    <row r="5" spans="2:19" ht="17.100000000000001" customHeight="1" x14ac:dyDescent="0.25">
      <c r="B5" s="315"/>
      <c r="C5" s="316" t="s">
        <v>576</v>
      </c>
      <c r="D5" s="317"/>
      <c r="E5" s="317"/>
      <c r="F5" s="317"/>
      <c r="G5" s="317">
        <f>G6</f>
        <v>21518856.6624</v>
      </c>
      <c r="H5" s="317">
        <f t="shared" ref="H5:M5" si="0">H6</f>
        <v>1813095.96</v>
      </c>
      <c r="I5" s="317">
        <f t="shared" si="0"/>
        <v>0</v>
      </c>
      <c r="J5" s="317">
        <f t="shared" si="0"/>
        <v>22399370.928895995</v>
      </c>
      <c r="K5" s="317">
        <f t="shared" si="0"/>
        <v>7314816.2588400003</v>
      </c>
      <c r="L5" s="317">
        <f t="shared" si="0"/>
        <v>118285.056</v>
      </c>
      <c r="M5" s="317">
        <f t="shared" si="0"/>
        <v>29595902.131735995</v>
      </c>
      <c r="N5" s="88"/>
      <c r="O5" s="402">
        <v>26968664.392399993</v>
      </c>
    </row>
    <row r="6" spans="2:19" ht="17.100000000000001" customHeight="1" x14ac:dyDescent="0.25">
      <c r="B6" s="321"/>
      <c r="C6" s="322" t="s">
        <v>577</v>
      </c>
      <c r="D6" s="323"/>
      <c r="E6" s="323"/>
      <c r="F6" s="323"/>
      <c r="G6" s="323">
        <f>G7+G71</f>
        <v>21518856.6624</v>
      </c>
      <c r="H6" s="323">
        <f t="shared" ref="H6:J6" si="1">H7+H71</f>
        <v>1813095.96</v>
      </c>
      <c r="I6" s="323">
        <f t="shared" si="1"/>
        <v>0</v>
      </c>
      <c r="J6" s="323">
        <f t="shared" si="1"/>
        <v>22399370.928895995</v>
      </c>
      <c r="K6" s="323">
        <f t="shared" ref="K6:M6" si="2">K7+K71</f>
        <v>7314816.2588400003</v>
      </c>
      <c r="L6" s="323">
        <f t="shared" si="2"/>
        <v>118285.056</v>
      </c>
      <c r="M6" s="323">
        <f t="shared" si="2"/>
        <v>29595902.131735995</v>
      </c>
      <c r="N6" s="88"/>
      <c r="O6" s="403">
        <v>26968664.392399993</v>
      </c>
    </row>
    <row r="7" spans="2:19" ht="17.100000000000001" customHeight="1" x14ac:dyDescent="0.25">
      <c r="B7" s="321"/>
      <c r="C7" s="322" t="s">
        <v>150</v>
      </c>
      <c r="D7" s="323"/>
      <c r="E7" s="323"/>
      <c r="F7" s="323"/>
      <c r="G7" s="323">
        <f>G8+G14+G20+G22+G26+G28+G33+G35+G45+G47+G50+G58+G67+G70</f>
        <v>17329009.862399999</v>
      </c>
      <c r="H7" s="323">
        <f t="shared" ref="H7:I7" si="3">H8+H14+H20+H22+H26+H28+H33+H35+H45+H47+H50+H58+H67+H70</f>
        <v>19000</v>
      </c>
      <c r="I7" s="323">
        <f t="shared" si="3"/>
        <v>0</v>
      </c>
      <c r="J7" s="323">
        <f>J8+J14+J20+J22+J26+J28+J33+J35+J45+J47+J50+J58+J67+J70</f>
        <v>18041930.256895997</v>
      </c>
      <c r="K7" s="323">
        <f>K8+K14+K20+K22+K26+K28+K33+K35+K45+K47+K50+K58+K67+K70</f>
        <v>3675710.0288399998</v>
      </c>
      <c r="L7" s="323">
        <f>L8+L14+L20+L22+L26+L28+L33+L35+L45+L47+L50+L58+L67+L70</f>
        <v>98285.055999999997</v>
      </c>
      <c r="M7" s="323">
        <f>M8+M14+M20+M22+M26+M28+M33+M35+M45+M47+M50+M58+M67+M70</f>
        <v>21619355.229735997</v>
      </c>
      <c r="N7" s="88"/>
      <c r="O7" s="403">
        <v>21152669.732399993</v>
      </c>
    </row>
    <row r="8" spans="2:19" ht="17.100000000000001" customHeight="1" x14ac:dyDescent="0.25">
      <c r="B8" s="318"/>
      <c r="C8" s="319" t="s">
        <v>151</v>
      </c>
      <c r="D8" s="320"/>
      <c r="E8" s="320"/>
      <c r="F8" s="320"/>
      <c r="G8" s="320">
        <f>SUM(G9:G13)</f>
        <v>13251455.360000001</v>
      </c>
      <c r="H8" s="320">
        <f t="shared" ref="H8:J8" si="4">SUM(H9:H13)</f>
        <v>0</v>
      </c>
      <c r="I8" s="320">
        <f t="shared" si="4"/>
        <v>0</v>
      </c>
      <c r="J8" s="320">
        <f t="shared" si="4"/>
        <v>13781513.574400002</v>
      </c>
      <c r="K8" s="320">
        <f t="shared" ref="K8:M8" si="5">SUM(K9:K13)</f>
        <v>2328212.8529599998</v>
      </c>
      <c r="L8" s="320">
        <f t="shared" si="5"/>
        <v>0</v>
      </c>
      <c r="M8" s="320">
        <f t="shared" si="5"/>
        <v>16109726.42736</v>
      </c>
      <c r="N8" s="88"/>
      <c r="O8" s="404">
        <v>15430772.439999999</v>
      </c>
    </row>
    <row r="9" spans="2:19" ht="17.100000000000001" customHeight="1" x14ac:dyDescent="0.25">
      <c r="B9" s="211" t="s">
        <v>152</v>
      </c>
      <c r="C9" s="212" t="s">
        <v>153</v>
      </c>
      <c r="D9" s="213">
        <v>8871758.7937152293</v>
      </c>
      <c r="E9" s="213"/>
      <c r="F9" s="213"/>
      <c r="G9" s="213">
        <v>9356842.5600000005</v>
      </c>
      <c r="H9" s="213"/>
      <c r="I9" s="213"/>
      <c r="J9" s="213">
        <v>9731116.2624000013</v>
      </c>
      <c r="K9" s="213">
        <v>1202101.1169600002</v>
      </c>
      <c r="L9" s="213"/>
      <c r="M9" s="213">
        <f>J9+K9-L9</f>
        <v>10933217.379360002</v>
      </c>
      <c r="N9" s="88"/>
      <c r="O9" s="405">
        <v>10472430.440000001</v>
      </c>
      <c r="P9" s="400">
        <v>4.3999999999999997E-2</v>
      </c>
      <c r="Q9">
        <f>O9*P9</f>
        <v>460786.93936000002</v>
      </c>
      <c r="R9" s="89">
        <f>O9+Q9</f>
        <v>10933217.379360002</v>
      </c>
      <c r="S9" s="89">
        <f>R9-M9</f>
        <v>0</v>
      </c>
    </row>
    <row r="10" spans="2:19" ht="17.100000000000001" customHeight="1" x14ac:dyDescent="0.25">
      <c r="B10" s="211" t="s">
        <v>154</v>
      </c>
      <c r="C10" s="212" t="s">
        <v>155</v>
      </c>
      <c r="D10" s="213">
        <v>1779393.2852537469</v>
      </c>
      <c r="E10" s="213"/>
      <c r="F10" s="213"/>
      <c r="G10" s="213">
        <v>2058836</v>
      </c>
      <c r="H10" s="213"/>
      <c r="I10" s="213"/>
      <c r="J10" s="213">
        <v>2141189.44</v>
      </c>
      <c r="K10" s="213">
        <v>797378.5949599999</v>
      </c>
      <c r="L10" s="213"/>
      <c r="M10" s="213">
        <f t="shared" ref="M10:M13" si="6">J10+K10-L10</f>
        <v>2938568.0349599998</v>
      </c>
      <c r="N10" s="88"/>
      <c r="O10" s="405">
        <v>2814720.34</v>
      </c>
      <c r="P10" s="400">
        <v>4.3999999999999997E-2</v>
      </c>
      <c r="Q10">
        <f t="shared" ref="Q10:Q19" si="7">O10*P10</f>
        <v>123847.69495999999</v>
      </c>
      <c r="R10" s="89">
        <f t="shared" ref="R10:R21" si="8">O10+Q10</f>
        <v>2938568.0349599998</v>
      </c>
      <c r="S10" s="89">
        <f t="shared" ref="S10:S21" si="9">R10-M10</f>
        <v>0</v>
      </c>
    </row>
    <row r="11" spans="2:19" ht="17.100000000000001" customHeight="1" x14ac:dyDescent="0.25">
      <c r="B11" s="211" t="s">
        <v>156</v>
      </c>
      <c r="C11" s="212" t="s">
        <v>157</v>
      </c>
      <c r="D11" s="213">
        <v>508365.23225039995</v>
      </c>
      <c r="E11" s="213"/>
      <c r="F11" s="213"/>
      <c r="G11" s="213">
        <v>1030276</v>
      </c>
      <c r="H11" s="213"/>
      <c r="I11" s="213"/>
      <c r="J11" s="213">
        <v>1071487.04</v>
      </c>
      <c r="K11" s="213">
        <v>96456.253719999921</v>
      </c>
      <c r="L11" s="213"/>
      <c r="M11" s="213">
        <f t="shared" si="6"/>
        <v>1167943.29372</v>
      </c>
      <c r="N11" s="88"/>
      <c r="O11" s="405">
        <v>1118719.6299999999</v>
      </c>
      <c r="P11" s="400">
        <v>4.3999999999999997E-2</v>
      </c>
      <c r="Q11">
        <f t="shared" si="7"/>
        <v>49223.66371999999</v>
      </c>
      <c r="R11" s="89">
        <f t="shared" si="8"/>
        <v>1167943.29372</v>
      </c>
      <c r="S11" s="89">
        <f t="shared" si="9"/>
        <v>0</v>
      </c>
    </row>
    <row r="12" spans="2:19" ht="17.100000000000001" customHeight="1" x14ac:dyDescent="0.25">
      <c r="B12" s="211" t="s">
        <v>158</v>
      </c>
      <c r="C12" s="212" t="s">
        <v>159</v>
      </c>
      <c r="D12" s="213">
        <v>808971.53530756501</v>
      </c>
      <c r="E12" s="213"/>
      <c r="F12" s="213"/>
      <c r="G12" s="213">
        <v>805500.8</v>
      </c>
      <c r="H12" s="213"/>
      <c r="I12" s="213"/>
      <c r="J12" s="213">
        <v>837720.83200000005</v>
      </c>
      <c r="K12" s="213">
        <v>232276.88731999986</v>
      </c>
      <c r="L12" s="213"/>
      <c r="M12" s="213">
        <f t="shared" si="6"/>
        <v>1069997.7193199999</v>
      </c>
      <c r="N12" s="88"/>
      <c r="O12" s="405">
        <v>1024902.03</v>
      </c>
      <c r="P12" s="400">
        <v>4.3999999999999997E-2</v>
      </c>
      <c r="Q12">
        <f t="shared" si="7"/>
        <v>45095.689319999998</v>
      </c>
      <c r="R12" s="89">
        <f t="shared" si="8"/>
        <v>1069997.7193199999</v>
      </c>
      <c r="S12" s="89">
        <f t="shared" si="9"/>
        <v>0</v>
      </c>
    </row>
    <row r="13" spans="2:19" ht="17.100000000000001" customHeight="1" x14ac:dyDescent="0.25">
      <c r="B13" s="211"/>
      <c r="C13" s="212" t="s">
        <v>160</v>
      </c>
      <c r="D13" s="213">
        <v>1</v>
      </c>
      <c r="E13" s="213"/>
      <c r="F13" s="213"/>
      <c r="G13" s="213">
        <v>0</v>
      </c>
      <c r="H13" s="213"/>
      <c r="I13" s="213"/>
      <c r="J13" s="213">
        <v>0</v>
      </c>
      <c r="K13" s="213">
        <v>0</v>
      </c>
      <c r="L13" s="213"/>
      <c r="M13" s="213">
        <f t="shared" si="6"/>
        <v>0</v>
      </c>
      <c r="N13" s="88"/>
      <c r="O13" s="405">
        <v>0</v>
      </c>
      <c r="P13" s="400">
        <v>4.3999999999999997E-2</v>
      </c>
      <c r="Q13">
        <f t="shared" si="7"/>
        <v>0</v>
      </c>
      <c r="R13" s="89">
        <f t="shared" si="8"/>
        <v>0</v>
      </c>
      <c r="S13" s="89">
        <f t="shared" si="9"/>
        <v>0</v>
      </c>
    </row>
    <row r="14" spans="2:19" ht="17.100000000000001" customHeight="1" x14ac:dyDescent="0.25">
      <c r="B14" s="318"/>
      <c r="C14" s="319" t="s">
        <v>161</v>
      </c>
      <c r="D14" s="320"/>
      <c r="E14" s="320"/>
      <c r="F14" s="320"/>
      <c r="G14" s="320">
        <f>SUM(G15:G19)</f>
        <v>1058928</v>
      </c>
      <c r="H14" s="320">
        <f t="shared" ref="H14:J14" si="10">SUM(H15:H19)</f>
        <v>0</v>
      </c>
      <c r="I14" s="320">
        <f t="shared" si="10"/>
        <v>0</v>
      </c>
      <c r="J14" s="320">
        <f t="shared" si="10"/>
        <v>1101285.1199999999</v>
      </c>
      <c r="K14" s="320">
        <f t="shared" ref="K14:M14" si="11">SUM(K15:K19)</f>
        <v>317931.6520399999</v>
      </c>
      <c r="L14" s="320">
        <f t="shared" si="11"/>
        <v>0</v>
      </c>
      <c r="M14" s="320">
        <f t="shared" si="11"/>
        <v>1419216.77204</v>
      </c>
      <c r="N14" s="88"/>
      <c r="O14" s="404">
        <v>1353637.17</v>
      </c>
      <c r="P14" s="400"/>
      <c r="R14" s="89"/>
      <c r="S14" s="89"/>
    </row>
    <row r="15" spans="2:19" ht="17.100000000000001" customHeight="1" x14ac:dyDescent="0.25">
      <c r="B15" s="211" t="s">
        <v>162</v>
      </c>
      <c r="C15" s="212" t="s">
        <v>163</v>
      </c>
      <c r="D15" s="213">
        <v>625912.05411000003</v>
      </c>
      <c r="E15" s="213"/>
      <c r="F15" s="213"/>
      <c r="G15" s="213">
        <v>770016</v>
      </c>
      <c r="H15" s="213"/>
      <c r="I15" s="213"/>
      <c r="J15" s="213">
        <v>800816.64000000001</v>
      </c>
      <c r="K15" s="213">
        <v>235638.03791999992</v>
      </c>
      <c r="L15" s="213"/>
      <c r="M15" s="213">
        <f t="shared" ref="M15:M19" si="12">J15+K15-L15</f>
        <v>1036454.6779199999</v>
      </c>
      <c r="N15" s="88"/>
      <c r="O15" s="405">
        <v>992772.67999999993</v>
      </c>
      <c r="P15" s="400">
        <v>4.3999999999999997E-2</v>
      </c>
      <c r="Q15">
        <f t="shared" si="7"/>
        <v>43681.997919999994</v>
      </c>
      <c r="R15" s="89">
        <f>O15+Q15</f>
        <v>1036454.6779199999</v>
      </c>
      <c r="S15" s="89">
        <f>R15-M15</f>
        <v>0</v>
      </c>
    </row>
    <row r="16" spans="2:19" ht="17.100000000000001" customHeight="1" x14ac:dyDescent="0.25">
      <c r="B16" s="211" t="s">
        <v>164</v>
      </c>
      <c r="C16" s="212" t="s">
        <v>165</v>
      </c>
      <c r="D16" s="213">
        <v>127284.18640874999</v>
      </c>
      <c r="E16" s="213"/>
      <c r="F16" s="213"/>
      <c r="G16" s="213">
        <v>154440</v>
      </c>
      <c r="H16" s="213"/>
      <c r="I16" s="213"/>
      <c r="J16" s="213">
        <v>160617.60000000001</v>
      </c>
      <c r="K16" s="213">
        <v>58080.574439999997</v>
      </c>
      <c r="L16" s="213"/>
      <c r="M16" s="213">
        <f t="shared" si="12"/>
        <v>218698.17444</v>
      </c>
      <c r="N16" s="88"/>
      <c r="O16" s="405">
        <v>209481.01</v>
      </c>
      <c r="P16" s="400">
        <v>4.3999999999999997E-2</v>
      </c>
      <c r="Q16">
        <f t="shared" si="7"/>
        <v>9217.1644400000005</v>
      </c>
      <c r="R16" s="89">
        <f t="shared" si="8"/>
        <v>218698.17444</v>
      </c>
      <c r="S16" s="89">
        <f t="shared" si="9"/>
        <v>0</v>
      </c>
    </row>
    <row r="17" spans="2:19" ht="17.100000000000001" customHeight="1" x14ac:dyDescent="0.25">
      <c r="B17" s="211" t="s">
        <v>166</v>
      </c>
      <c r="C17" s="212" t="s">
        <v>167</v>
      </c>
      <c r="D17" s="213">
        <v>34493.819928750003</v>
      </c>
      <c r="E17" s="213"/>
      <c r="F17" s="213"/>
      <c r="G17" s="213">
        <v>69784</v>
      </c>
      <c r="H17" s="213"/>
      <c r="I17" s="213"/>
      <c r="J17" s="213">
        <v>72575.360000000001</v>
      </c>
      <c r="K17" s="213"/>
      <c r="L17" s="213"/>
      <c r="M17" s="213">
        <f t="shared" si="12"/>
        <v>72575.360000000001</v>
      </c>
      <c r="N17" s="88"/>
      <c r="O17" s="405">
        <v>63750.76</v>
      </c>
      <c r="P17" s="400">
        <v>4.3999999999999997E-2</v>
      </c>
      <c r="Q17">
        <f t="shared" si="7"/>
        <v>2805.0334399999997</v>
      </c>
      <c r="R17" s="89">
        <f t="shared" si="8"/>
        <v>66555.793440000009</v>
      </c>
      <c r="S17" s="89">
        <f t="shared" si="9"/>
        <v>-6019.566559999992</v>
      </c>
    </row>
    <row r="18" spans="2:19" ht="17.100000000000001" customHeight="1" x14ac:dyDescent="0.25">
      <c r="B18" s="211" t="s">
        <v>168</v>
      </c>
      <c r="C18" s="212" t="s">
        <v>169</v>
      </c>
      <c r="D18" s="213">
        <v>32925.867896249998</v>
      </c>
      <c r="E18" s="213"/>
      <c r="F18" s="213"/>
      <c r="G18" s="213">
        <v>64688</v>
      </c>
      <c r="H18" s="213"/>
      <c r="I18" s="213"/>
      <c r="J18" s="213">
        <v>67275.520000000004</v>
      </c>
      <c r="K18" s="213">
        <v>24213.039680000002</v>
      </c>
      <c r="L18" s="213"/>
      <c r="M18" s="213">
        <f t="shared" si="12"/>
        <v>91488.559680000006</v>
      </c>
      <c r="N18" s="88"/>
      <c r="O18" s="405">
        <v>87632.72</v>
      </c>
      <c r="P18" s="400">
        <v>4.3999999999999997E-2</v>
      </c>
      <c r="Q18">
        <f t="shared" si="7"/>
        <v>3855.83968</v>
      </c>
      <c r="R18" s="89">
        <f t="shared" si="8"/>
        <v>91488.559680000006</v>
      </c>
      <c r="S18" s="89">
        <f t="shared" si="9"/>
        <v>0</v>
      </c>
    </row>
    <row r="19" spans="2:19" ht="17.100000000000001" customHeight="1" x14ac:dyDescent="0.25">
      <c r="B19" s="211"/>
      <c r="C19" s="212" t="s">
        <v>170</v>
      </c>
      <c r="D19" s="213">
        <v>1</v>
      </c>
      <c r="E19" s="213"/>
      <c r="F19" s="213"/>
      <c r="G19" s="213">
        <v>0</v>
      </c>
      <c r="H19" s="213"/>
      <c r="I19" s="213"/>
      <c r="J19" s="213">
        <v>0</v>
      </c>
      <c r="K19" s="213"/>
      <c r="L19" s="213"/>
      <c r="M19" s="213">
        <f t="shared" si="12"/>
        <v>0</v>
      </c>
      <c r="N19" s="88"/>
      <c r="O19" s="405">
        <v>0</v>
      </c>
      <c r="P19" s="400">
        <v>4.3999999999999997E-2</v>
      </c>
      <c r="Q19">
        <f t="shared" si="7"/>
        <v>0</v>
      </c>
      <c r="R19" s="89">
        <f t="shared" si="8"/>
        <v>0</v>
      </c>
      <c r="S19" s="89">
        <f t="shared" si="9"/>
        <v>0</v>
      </c>
    </row>
    <row r="20" spans="2:19" ht="17.100000000000001" customHeight="1" x14ac:dyDescent="0.25">
      <c r="B20" s="318"/>
      <c r="C20" s="319" t="s">
        <v>171</v>
      </c>
      <c r="D20" s="320"/>
      <c r="E20" s="320"/>
      <c r="F20" s="320"/>
      <c r="G20" s="320">
        <f>G21</f>
        <v>1426609.6</v>
      </c>
      <c r="H20" s="320">
        <f t="shared" ref="H20:M20" si="13">H21</f>
        <v>0</v>
      </c>
      <c r="I20" s="320">
        <f t="shared" si="13"/>
        <v>0</v>
      </c>
      <c r="J20" s="320">
        <f t="shared" si="13"/>
        <v>1483673.9840000002</v>
      </c>
      <c r="K20" s="320">
        <f t="shared" si="13"/>
        <v>451880.46783999982</v>
      </c>
      <c r="L20" s="320">
        <f t="shared" si="13"/>
        <v>0</v>
      </c>
      <c r="M20" s="320">
        <f t="shared" si="13"/>
        <v>1935554.45184</v>
      </c>
      <c r="N20" s="88"/>
      <c r="O20" s="404">
        <v>1853979.36</v>
      </c>
      <c r="P20" s="400"/>
      <c r="R20" s="89"/>
      <c r="S20" s="89"/>
    </row>
    <row r="21" spans="2:19" ht="17.100000000000001" customHeight="1" x14ac:dyDescent="0.25">
      <c r="B21" s="211" t="s">
        <v>172</v>
      </c>
      <c r="C21" s="212" t="s">
        <v>173</v>
      </c>
      <c r="D21" s="213">
        <v>1223800.1403074998</v>
      </c>
      <c r="E21" s="213"/>
      <c r="F21" s="213"/>
      <c r="G21" s="213">
        <v>1426609.6</v>
      </c>
      <c r="H21" s="213"/>
      <c r="I21" s="213"/>
      <c r="J21" s="213">
        <v>1483673.9840000002</v>
      </c>
      <c r="K21" s="213">
        <v>451880.46783999982</v>
      </c>
      <c r="L21" s="213"/>
      <c r="M21" s="213">
        <f>J21+K21-L21</f>
        <v>1935554.45184</v>
      </c>
      <c r="N21" s="88"/>
      <c r="O21" s="405">
        <v>1853979.36</v>
      </c>
      <c r="P21" s="400">
        <v>4.3999999999999997E-2</v>
      </c>
      <c r="Q21">
        <v>81575.091839999994</v>
      </c>
      <c r="R21" s="89">
        <f t="shared" si="8"/>
        <v>1935554.45184</v>
      </c>
      <c r="S21" s="89">
        <f t="shared" si="9"/>
        <v>0</v>
      </c>
    </row>
    <row r="22" spans="2:19" ht="17.100000000000001" customHeight="1" x14ac:dyDescent="0.25">
      <c r="B22" s="318"/>
      <c r="C22" s="319" t="s">
        <v>174</v>
      </c>
      <c r="D22" s="320"/>
      <c r="E22" s="320"/>
      <c r="F22" s="320"/>
      <c r="G22" s="320">
        <f>SUM(G23:G25)</f>
        <v>51303.199999999997</v>
      </c>
      <c r="H22" s="320">
        <f t="shared" ref="H22:J22" si="14">SUM(H23:H25)</f>
        <v>19000</v>
      </c>
      <c r="I22" s="320">
        <f t="shared" si="14"/>
        <v>0</v>
      </c>
      <c r="J22" s="320">
        <f t="shared" si="14"/>
        <v>73115.328000000009</v>
      </c>
      <c r="K22" s="320">
        <f t="shared" ref="K22:M22" si="15">SUM(K23:K25)</f>
        <v>20000</v>
      </c>
      <c r="L22" s="320">
        <f t="shared" si="15"/>
        <v>0</v>
      </c>
      <c r="M22" s="320">
        <f t="shared" si="15"/>
        <v>93115.328000000009</v>
      </c>
      <c r="N22" s="88"/>
      <c r="O22" s="404">
        <v>82890.929999999993</v>
      </c>
      <c r="P22" s="400"/>
    </row>
    <row r="23" spans="2:19" ht="17.100000000000001" customHeight="1" x14ac:dyDescent="0.25">
      <c r="B23" s="211" t="s">
        <v>175</v>
      </c>
      <c r="C23" s="212" t="s">
        <v>176</v>
      </c>
      <c r="D23" s="213">
        <v>34868.373749999999</v>
      </c>
      <c r="E23" s="213"/>
      <c r="F23" s="213"/>
      <c r="G23" s="213">
        <v>34112</v>
      </c>
      <c r="H23" s="213"/>
      <c r="I23" s="213"/>
      <c r="J23" s="213">
        <v>35476.480000000003</v>
      </c>
      <c r="K23" s="89">
        <v>20000</v>
      </c>
      <c r="L23" s="213"/>
      <c r="M23" s="213">
        <f t="shared" ref="M23:M25" si="16">J23+K23-L23</f>
        <v>55476.480000000003</v>
      </c>
      <c r="N23" s="88"/>
      <c r="O23" s="405">
        <v>53836.45</v>
      </c>
      <c r="P23" s="400"/>
      <c r="Q23">
        <f>O23*4%</f>
        <v>2153.4580000000001</v>
      </c>
      <c r="R23" s="89">
        <f>O23+Q23</f>
        <v>55989.907999999996</v>
      </c>
      <c r="S23" s="89">
        <f>R23-M23</f>
        <v>513.42799999999261</v>
      </c>
    </row>
    <row r="24" spans="2:19" ht="17.100000000000001" customHeight="1" x14ac:dyDescent="0.25">
      <c r="B24" s="211" t="s">
        <v>177</v>
      </c>
      <c r="C24" s="212" t="s">
        <v>178</v>
      </c>
      <c r="D24" s="213">
        <v>19856.976457499997</v>
      </c>
      <c r="E24" s="213"/>
      <c r="F24" s="213"/>
      <c r="G24" s="213">
        <v>1040</v>
      </c>
      <c r="H24" s="213"/>
      <c r="I24" s="213"/>
      <c r="J24" s="213">
        <v>1081.6000000000001</v>
      </c>
      <c r="K24" s="213"/>
      <c r="L24" s="213"/>
      <c r="M24" s="213">
        <f t="shared" si="16"/>
        <v>1081.6000000000001</v>
      </c>
      <c r="N24" s="88"/>
      <c r="O24" s="405">
        <v>618.68000000000006</v>
      </c>
      <c r="P24" s="400"/>
      <c r="Q24">
        <f t="shared" ref="Q24:Q25" si="17">O24*4%</f>
        <v>24.747200000000003</v>
      </c>
      <c r="R24" s="89">
        <f t="shared" ref="R24:R25" si="18">O24+Q24</f>
        <v>643.42720000000008</v>
      </c>
      <c r="S24" s="89">
        <f t="shared" ref="S24:S25" si="19">R24-M24</f>
        <v>-438.17280000000005</v>
      </c>
    </row>
    <row r="25" spans="2:19" ht="17.100000000000001" customHeight="1" x14ac:dyDescent="0.25">
      <c r="B25" s="211"/>
      <c r="C25" s="212" t="s">
        <v>179</v>
      </c>
      <c r="D25" s="213">
        <v>1</v>
      </c>
      <c r="E25" s="213"/>
      <c r="F25" s="213"/>
      <c r="G25" s="213">
        <v>16151.2</v>
      </c>
      <c r="H25" s="213">
        <v>19000</v>
      </c>
      <c r="I25" s="213"/>
      <c r="J25" s="213">
        <v>36557.248</v>
      </c>
      <c r="K25" s="213"/>
      <c r="L25" s="213"/>
      <c r="M25" s="213">
        <f t="shared" si="16"/>
        <v>36557.248</v>
      </c>
      <c r="N25" s="88"/>
      <c r="O25" s="405">
        <v>28435.799999999996</v>
      </c>
      <c r="P25" s="400"/>
      <c r="Q25">
        <f t="shared" si="17"/>
        <v>1137.4319999999998</v>
      </c>
      <c r="R25" s="89">
        <f t="shared" si="18"/>
        <v>29573.231999999996</v>
      </c>
      <c r="S25" s="89">
        <f t="shared" si="19"/>
        <v>-6984.0160000000033</v>
      </c>
    </row>
    <row r="26" spans="2:19" ht="17.100000000000001" customHeight="1" x14ac:dyDescent="0.25">
      <c r="B26" s="318"/>
      <c r="C26" s="319" t="s">
        <v>180</v>
      </c>
      <c r="D26" s="320"/>
      <c r="E26" s="320"/>
      <c r="F26" s="320"/>
      <c r="G26" s="320">
        <f>G27</f>
        <v>0</v>
      </c>
      <c r="H26" s="320">
        <f t="shared" ref="H26:M26" si="20">H27</f>
        <v>0</v>
      </c>
      <c r="I26" s="320">
        <f t="shared" si="20"/>
        <v>0</v>
      </c>
      <c r="J26" s="320">
        <f t="shared" si="20"/>
        <v>0</v>
      </c>
      <c r="K26" s="320">
        <f t="shared" si="20"/>
        <v>0</v>
      </c>
      <c r="L26" s="320">
        <f t="shared" si="20"/>
        <v>0</v>
      </c>
      <c r="M26" s="320">
        <f t="shared" si="20"/>
        <v>0</v>
      </c>
      <c r="N26" s="88"/>
      <c r="O26" s="404">
        <v>500000</v>
      </c>
      <c r="P26" s="400"/>
      <c r="S26" s="89"/>
    </row>
    <row r="27" spans="2:19" ht="17.100000000000001" customHeight="1" x14ac:dyDescent="0.25">
      <c r="B27" s="211" t="s">
        <v>181</v>
      </c>
      <c r="C27" s="212" t="s">
        <v>180</v>
      </c>
      <c r="D27" s="213">
        <v>1</v>
      </c>
      <c r="E27" s="213"/>
      <c r="F27" s="213"/>
      <c r="G27" s="213">
        <v>0</v>
      </c>
      <c r="H27" s="213"/>
      <c r="I27" s="213"/>
      <c r="J27" s="213">
        <f>G27+H27-I27</f>
        <v>0</v>
      </c>
      <c r="K27" s="213">
        <f>H27+I27-J27</f>
        <v>0</v>
      </c>
      <c r="L27" s="213">
        <f>I27+J27-K27</f>
        <v>0</v>
      </c>
      <c r="M27" s="213">
        <f>J27+K27-L27</f>
        <v>0</v>
      </c>
      <c r="N27" s="88"/>
      <c r="O27" s="405">
        <v>500000</v>
      </c>
      <c r="P27" s="400"/>
      <c r="R27">
        <f t="shared" ref="R27" si="21">O27+Q27</f>
        <v>500000</v>
      </c>
      <c r="S27" s="89">
        <f t="shared" ref="S27" si="22">R27-M27</f>
        <v>500000</v>
      </c>
    </row>
    <row r="28" spans="2:19" ht="17.100000000000001" customHeight="1" x14ac:dyDescent="0.25">
      <c r="B28" s="318"/>
      <c r="C28" s="319" t="s">
        <v>182</v>
      </c>
      <c r="D28" s="320"/>
      <c r="E28" s="320"/>
      <c r="F28" s="320"/>
      <c r="G28" s="320">
        <f>SUM(G29:G30)</f>
        <v>141502.39999999999</v>
      </c>
      <c r="H28" s="320">
        <f t="shared" ref="H28:J28" si="23">SUM(H29:H30)</f>
        <v>0</v>
      </c>
      <c r="I28" s="320">
        <f t="shared" si="23"/>
        <v>0</v>
      </c>
      <c r="J28" s="320">
        <f t="shared" si="23"/>
        <v>147162.49600000001</v>
      </c>
      <c r="K28" s="320">
        <f t="shared" ref="K28:M28" si="24">SUM(K29:K30)</f>
        <v>85500</v>
      </c>
      <c r="L28" s="320">
        <f t="shared" si="24"/>
        <v>0</v>
      </c>
      <c r="M28" s="320">
        <f t="shared" si="24"/>
        <v>232662.49600000001</v>
      </c>
      <c r="N28" s="88"/>
      <c r="O28" s="404">
        <v>223234.06</v>
      </c>
      <c r="P28" s="400"/>
      <c r="Q28">
        <f t="shared" ref="Q28:Q30" si="25">O28*4%</f>
        <v>8929.3624</v>
      </c>
      <c r="R28">
        <f t="shared" ref="R28:R30" si="26">O28+Q28</f>
        <v>232163.42240000001</v>
      </c>
      <c r="S28" s="89">
        <f t="shared" ref="S28:S30" si="27">R28-M28</f>
        <v>-499.07360000000335</v>
      </c>
    </row>
    <row r="29" spans="2:19" ht="17.100000000000001" customHeight="1" x14ac:dyDescent="0.25">
      <c r="B29" s="211" t="s">
        <v>183</v>
      </c>
      <c r="C29" s="212" t="s">
        <v>184</v>
      </c>
      <c r="D29" s="213">
        <v>104822.20499624999</v>
      </c>
      <c r="E29" s="213"/>
      <c r="F29" s="213"/>
      <c r="G29" s="213">
        <v>101379.2</v>
      </c>
      <c r="H29" s="213"/>
      <c r="I29" s="213"/>
      <c r="J29" s="213">
        <v>105434.368</v>
      </c>
      <c r="K29" s="213">
        <v>63000</v>
      </c>
      <c r="L29" s="213"/>
      <c r="M29" s="213">
        <f t="shared" ref="M29:M30" si="28">J29+K29-L29</f>
        <v>168434.36800000002</v>
      </c>
      <c r="N29" s="88"/>
      <c r="O29" s="405">
        <v>161608.47999999998</v>
      </c>
      <c r="P29" s="400"/>
      <c r="Q29">
        <f t="shared" si="25"/>
        <v>6464.3391999999994</v>
      </c>
      <c r="R29">
        <f t="shared" si="26"/>
        <v>168072.81919999997</v>
      </c>
      <c r="S29" s="89">
        <f t="shared" si="27"/>
        <v>-361.54880000004778</v>
      </c>
    </row>
    <row r="30" spans="2:19" ht="17.100000000000001" customHeight="1" x14ac:dyDescent="0.25">
      <c r="B30" s="211" t="s">
        <v>185</v>
      </c>
      <c r="C30" s="212" t="s">
        <v>186</v>
      </c>
      <c r="D30" s="213">
        <v>48234.208758749999</v>
      </c>
      <c r="E30" s="213"/>
      <c r="F30" s="213"/>
      <c r="G30" s="213">
        <v>40123.200000000004</v>
      </c>
      <c r="H30" s="213"/>
      <c r="I30" s="213"/>
      <c r="J30" s="213">
        <v>41728.128000000004</v>
      </c>
      <c r="K30" s="213">
        <v>22500</v>
      </c>
      <c r="L30" s="213"/>
      <c r="M30" s="213">
        <f t="shared" si="28"/>
        <v>64228.128000000004</v>
      </c>
      <c r="N30" s="88"/>
      <c r="O30" s="405">
        <v>61625.58</v>
      </c>
      <c r="P30" s="400"/>
      <c r="Q30">
        <f t="shared" si="25"/>
        <v>2465.0232000000001</v>
      </c>
      <c r="R30">
        <f t="shared" si="26"/>
        <v>64090.603200000005</v>
      </c>
      <c r="S30" s="89">
        <f t="shared" si="27"/>
        <v>-137.52479999999923</v>
      </c>
    </row>
    <row r="31" spans="2:19" ht="17.100000000000001" customHeight="1" x14ac:dyDescent="0.25">
      <c r="B31" s="318"/>
      <c r="C31" s="319" t="s">
        <v>187</v>
      </c>
      <c r="D31" s="320"/>
      <c r="E31" s="320"/>
      <c r="F31" s="320"/>
      <c r="G31" s="320"/>
      <c r="H31" s="320"/>
      <c r="I31" s="320"/>
      <c r="J31" s="320">
        <v>0</v>
      </c>
      <c r="K31" s="320">
        <v>0</v>
      </c>
      <c r="L31" s="320">
        <v>0</v>
      </c>
      <c r="M31" s="320">
        <v>0</v>
      </c>
      <c r="N31" s="88"/>
      <c r="O31" s="404"/>
      <c r="P31" s="400"/>
      <c r="S31" s="89"/>
    </row>
    <row r="32" spans="2:19" ht="17.100000000000001" customHeight="1" x14ac:dyDescent="0.25">
      <c r="B32" s="318"/>
      <c r="C32" s="319" t="s">
        <v>188</v>
      </c>
      <c r="D32" s="320"/>
      <c r="E32" s="320"/>
      <c r="F32" s="320"/>
      <c r="G32" s="320"/>
      <c r="H32" s="320"/>
      <c r="I32" s="320"/>
      <c r="J32" s="320">
        <v>0</v>
      </c>
      <c r="K32" s="320">
        <v>0</v>
      </c>
      <c r="L32" s="320">
        <v>0</v>
      </c>
      <c r="M32" s="320">
        <v>0</v>
      </c>
      <c r="N32" s="88"/>
      <c r="O32" s="404"/>
      <c r="P32" s="400"/>
      <c r="S32" s="89"/>
    </row>
    <row r="33" spans="2:19" ht="17.100000000000001" customHeight="1" x14ac:dyDescent="0.25">
      <c r="B33" s="318"/>
      <c r="C33" s="319" t="s">
        <v>189</v>
      </c>
      <c r="D33" s="320"/>
      <c r="E33" s="320"/>
      <c r="F33" s="320"/>
      <c r="G33" s="320">
        <f>G34</f>
        <v>7966.4000000000005</v>
      </c>
      <c r="H33" s="320">
        <f t="shared" ref="H33:I33" si="29">H34</f>
        <v>0</v>
      </c>
      <c r="I33" s="320">
        <f t="shared" si="29"/>
        <v>0</v>
      </c>
      <c r="J33" s="320">
        <v>8285.0560000000005</v>
      </c>
      <c r="K33" s="320">
        <v>8285.0560000000005</v>
      </c>
      <c r="L33" s="320">
        <v>8285.0560000000005</v>
      </c>
      <c r="M33" s="320">
        <v>8285.0560000000005</v>
      </c>
      <c r="N33" s="88"/>
      <c r="O33" s="404">
        <v>6694.880000000001</v>
      </c>
      <c r="P33" s="400"/>
      <c r="S33" s="89"/>
    </row>
    <row r="34" spans="2:19" ht="17.100000000000001" customHeight="1" x14ac:dyDescent="0.25">
      <c r="B34" s="211" t="s">
        <v>190</v>
      </c>
      <c r="C34" s="212" t="s">
        <v>189</v>
      </c>
      <c r="D34" s="213">
        <v>814.34524499999998</v>
      </c>
      <c r="E34" s="213"/>
      <c r="F34" s="213"/>
      <c r="G34" s="213">
        <v>7966.4000000000005</v>
      </c>
      <c r="H34" s="213"/>
      <c r="I34" s="213"/>
      <c r="J34" s="213">
        <v>8285.0560000000005</v>
      </c>
      <c r="K34" s="213">
        <v>0</v>
      </c>
      <c r="L34" s="213">
        <v>0</v>
      </c>
      <c r="M34" s="213">
        <f>J34+K34-L34</f>
        <v>8285.0560000000005</v>
      </c>
      <c r="N34" s="88"/>
      <c r="O34" s="405">
        <v>6694.880000000001</v>
      </c>
      <c r="P34" s="400"/>
      <c r="Q34">
        <f t="shared" ref="Q34" si="30">O34*4%</f>
        <v>267.79520000000002</v>
      </c>
      <c r="R34">
        <f t="shared" ref="R34" si="31">O34+Q34</f>
        <v>6962.6752000000015</v>
      </c>
      <c r="S34" s="89">
        <f t="shared" ref="S34" si="32">R34-M34</f>
        <v>-1322.380799999999</v>
      </c>
    </row>
    <row r="35" spans="2:19" ht="17.100000000000001" customHeight="1" x14ac:dyDescent="0.25">
      <c r="B35" s="318"/>
      <c r="C35" s="319" t="s">
        <v>191</v>
      </c>
      <c r="D35" s="320"/>
      <c r="E35" s="320"/>
      <c r="F35" s="320"/>
      <c r="G35" s="320">
        <f>SUM(G36:G44)</f>
        <v>418910.5024</v>
      </c>
      <c r="H35" s="320">
        <f t="shared" ref="H35:J35" si="33">SUM(H36:H44)</f>
        <v>0</v>
      </c>
      <c r="I35" s="320">
        <f t="shared" si="33"/>
        <v>0</v>
      </c>
      <c r="J35" s="320">
        <f t="shared" si="33"/>
        <v>435666.92249600001</v>
      </c>
      <c r="K35" s="320">
        <f t="shared" ref="K35:M35" si="34">SUM(K36:K44)</f>
        <v>193500</v>
      </c>
      <c r="L35" s="320">
        <f t="shared" si="34"/>
        <v>38000</v>
      </c>
      <c r="M35" s="320">
        <f t="shared" si="34"/>
        <v>591166.92249600007</v>
      </c>
      <c r="N35" s="88"/>
      <c r="O35" s="404">
        <v>561198.20240000007</v>
      </c>
      <c r="P35" s="400"/>
      <c r="S35" s="89"/>
    </row>
    <row r="36" spans="2:19" ht="17.100000000000001" customHeight="1" x14ac:dyDescent="0.25">
      <c r="B36" s="211" t="s">
        <v>192</v>
      </c>
      <c r="C36" s="212" t="s">
        <v>193</v>
      </c>
      <c r="D36" s="213">
        <v>66858.419486250001</v>
      </c>
      <c r="E36" s="213"/>
      <c r="F36" s="213"/>
      <c r="G36" s="213">
        <v>59321.599999999999</v>
      </c>
      <c r="H36" s="213"/>
      <c r="I36" s="213"/>
      <c r="J36" s="213">
        <v>61694.464</v>
      </c>
      <c r="K36" s="213">
        <v>44000</v>
      </c>
      <c r="L36" s="213"/>
      <c r="M36" s="213">
        <f t="shared" ref="M36:M44" si="35">J36+K36-L36</f>
        <v>105694.46400000001</v>
      </c>
      <c r="N36" s="88"/>
      <c r="O36" s="405">
        <v>101393.65</v>
      </c>
      <c r="P36" s="400"/>
      <c r="Q36">
        <f t="shared" ref="Q36:Q44" si="36">O36*4%</f>
        <v>4055.7459999999996</v>
      </c>
      <c r="R36">
        <f t="shared" ref="R36:R44" si="37">O36+Q36</f>
        <v>105449.39599999999</v>
      </c>
      <c r="S36" s="89">
        <f t="shared" ref="S36:S44" si="38">R36-M36</f>
        <v>-245.06800000001385</v>
      </c>
    </row>
    <row r="37" spans="2:19" ht="17.100000000000001" customHeight="1" x14ac:dyDescent="0.25">
      <c r="B37" s="211" t="s">
        <v>194</v>
      </c>
      <c r="C37" s="212" t="s">
        <v>195</v>
      </c>
      <c r="D37" s="213">
        <v>62173.684755000002</v>
      </c>
      <c r="E37" s="213"/>
      <c r="F37" s="213"/>
      <c r="G37" s="213">
        <v>40008.800000000003</v>
      </c>
      <c r="H37" s="213"/>
      <c r="I37" s="213"/>
      <c r="J37" s="213">
        <v>41609.152000000002</v>
      </c>
      <c r="K37" s="213">
        <v>33000</v>
      </c>
      <c r="L37" s="213"/>
      <c r="M37" s="213">
        <f t="shared" si="35"/>
        <v>74609.152000000002</v>
      </c>
      <c r="N37" s="88"/>
      <c r="O37" s="405">
        <v>71295.98000000001</v>
      </c>
      <c r="P37" s="400"/>
      <c r="Q37">
        <f t="shared" si="36"/>
        <v>2851.8392000000003</v>
      </c>
      <c r="R37">
        <f t="shared" si="37"/>
        <v>74147.819200000013</v>
      </c>
      <c r="S37" s="89">
        <f t="shared" si="38"/>
        <v>-461.33279999998922</v>
      </c>
    </row>
    <row r="38" spans="2:19" ht="17.100000000000001" customHeight="1" x14ac:dyDescent="0.25">
      <c r="B38" s="211" t="s">
        <v>196</v>
      </c>
      <c r="C38" s="212" t="s">
        <v>197</v>
      </c>
      <c r="D38" s="213">
        <v>17929.092825</v>
      </c>
      <c r="E38" s="213"/>
      <c r="F38" s="213"/>
      <c r="G38" s="213">
        <v>13135.2</v>
      </c>
      <c r="H38" s="213"/>
      <c r="I38" s="213"/>
      <c r="J38" s="213">
        <v>13660.608000000002</v>
      </c>
      <c r="K38" s="213">
        <v>27500</v>
      </c>
      <c r="L38" s="213"/>
      <c r="M38" s="213">
        <f t="shared" si="35"/>
        <v>41160.608</v>
      </c>
      <c r="N38" s="88"/>
      <c r="O38" s="405">
        <v>39364.65</v>
      </c>
      <c r="P38" s="400"/>
      <c r="Q38">
        <f t="shared" si="36"/>
        <v>1574.586</v>
      </c>
      <c r="R38">
        <f t="shared" si="37"/>
        <v>40939.236000000004</v>
      </c>
      <c r="S38" s="89">
        <f t="shared" si="38"/>
        <v>-221.37199999999575</v>
      </c>
    </row>
    <row r="39" spans="2:19" ht="17.100000000000001" customHeight="1" x14ac:dyDescent="0.25">
      <c r="B39" s="211" t="s">
        <v>198</v>
      </c>
      <c r="C39" s="212" t="s">
        <v>199</v>
      </c>
      <c r="D39" s="213">
        <v>17192.357831249999</v>
      </c>
      <c r="E39" s="213"/>
      <c r="F39" s="213"/>
      <c r="G39" s="213">
        <v>22838.400000000001</v>
      </c>
      <c r="H39" s="213"/>
      <c r="I39" s="213"/>
      <c r="J39" s="213">
        <v>23751.936000000002</v>
      </c>
      <c r="K39" s="213"/>
      <c r="L39" s="213">
        <v>13000</v>
      </c>
      <c r="M39" s="213">
        <f t="shared" si="35"/>
        <v>10751.936000000002</v>
      </c>
      <c r="N39" s="88"/>
      <c r="O39" s="405">
        <v>10368.720000000001</v>
      </c>
      <c r="P39" s="400"/>
      <c r="Q39">
        <f t="shared" si="36"/>
        <v>414.74880000000007</v>
      </c>
      <c r="R39">
        <f t="shared" si="37"/>
        <v>10783.468800000001</v>
      </c>
      <c r="S39" s="89">
        <f t="shared" si="38"/>
        <v>31.532799999999042</v>
      </c>
    </row>
    <row r="40" spans="2:19" ht="17.100000000000001" customHeight="1" x14ac:dyDescent="0.25">
      <c r="B40" s="211" t="s">
        <v>200</v>
      </c>
      <c r="C40" s="212" t="s">
        <v>201</v>
      </c>
      <c r="D40" s="213">
        <v>59225.619993750006</v>
      </c>
      <c r="E40" s="213"/>
      <c r="F40" s="213"/>
      <c r="G40" s="213">
        <v>88639.2</v>
      </c>
      <c r="H40" s="213"/>
      <c r="I40" s="213"/>
      <c r="J40" s="213">
        <v>92184.767999999996</v>
      </c>
      <c r="K40" s="213">
        <v>5000</v>
      </c>
      <c r="L40" s="213"/>
      <c r="M40" s="213">
        <f t="shared" si="35"/>
        <v>97184.767999999996</v>
      </c>
      <c r="N40" s="88"/>
      <c r="O40" s="405">
        <v>93410.36</v>
      </c>
      <c r="P40" s="400"/>
      <c r="Q40">
        <f t="shared" si="36"/>
        <v>3736.4144000000001</v>
      </c>
      <c r="R40">
        <f t="shared" si="37"/>
        <v>97146.774399999995</v>
      </c>
      <c r="S40" s="89">
        <f t="shared" si="38"/>
        <v>-37.993600000001607</v>
      </c>
    </row>
    <row r="41" spans="2:19" ht="17.100000000000001" customHeight="1" x14ac:dyDescent="0.25">
      <c r="B41" s="211" t="s">
        <v>202</v>
      </c>
      <c r="C41" s="212" t="s">
        <v>203</v>
      </c>
      <c r="D41" s="213">
        <v>1</v>
      </c>
      <c r="E41" s="213"/>
      <c r="F41" s="213"/>
      <c r="G41" s="213">
        <v>17921.28</v>
      </c>
      <c r="H41" s="213"/>
      <c r="I41" s="213"/>
      <c r="J41" s="213">
        <v>18638.1312</v>
      </c>
      <c r="K41" s="213"/>
      <c r="L41" s="213"/>
      <c r="M41" s="213">
        <f t="shared" si="35"/>
        <v>18638.1312</v>
      </c>
      <c r="N41" s="88"/>
      <c r="O41" s="405">
        <v>15591.759999999998</v>
      </c>
      <c r="P41" s="400"/>
      <c r="Q41">
        <f t="shared" si="36"/>
        <v>623.67039999999997</v>
      </c>
      <c r="R41">
        <f t="shared" si="37"/>
        <v>16215.430399999997</v>
      </c>
      <c r="S41" s="89">
        <f t="shared" si="38"/>
        <v>-2422.7008000000023</v>
      </c>
    </row>
    <row r="42" spans="2:19" ht="17.100000000000001" customHeight="1" x14ac:dyDescent="0.25">
      <c r="B42" s="211" t="s">
        <v>204</v>
      </c>
      <c r="C42" s="212" t="s">
        <v>205</v>
      </c>
      <c r="D42" s="213">
        <v>65911.735259999987</v>
      </c>
      <c r="E42" s="213"/>
      <c r="F42" s="213"/>
      <c r="G42" s="213">
        <v>78485.222399999999</v>
      </c>
      <c r="H42" s="213"/>
      <c r="I42" s="213"/>
      <c r="J42" s="213">
        <v>81624.631296000007</v>
      </c>
      <c r="K42" s="213"/>
      <c r="L42" s="213">
        <v>25000</v>
      </c>
      <c r="M42" s="213">
        <f t="shared" si="35"/>
        <v>56624.631296000007</v>
      </c>
      <c r="N42" s="88"/>
      <c r="O42" s="405">
        <v>50665.292399999998</v>
      </c>
      <c r="P42" s="400"/>
      <c r="Q42">
        <f t="shared" si="36"/>
        <v>2026.6116959999999</v>
      </c>
      <c r="R42">
        <f t="shared" si="37"/>
        <v>52691.904095999998</v>
      </c>
      <c r="S42" s="89">
        <f t="shared" si="38"/>
        <v>-3932.7272000000085</v>
      </c>
    </row>
    <row r="43" spans="2:19" ht="17.100000000000001" customHeight="1" x14ac:dyDescent="0.25">
      <c r="B43" s="211" t="s">
        <v>206</v>
      </c>
      <c r="C43" s="212" t="s">
        <v>207</v>
      </c>
      <c r="D43" s="213">
        <v>102592.525455</v>
      </c>
      <c r="E43" s="213"/>
      <c r="F43" s="213"/>
      <c r="G43" s="213">
        <v>97312.8</v>
      </c>
      <c r="H43" s="213"/>
      <c r="I43" s="213"/>
      <c r="J43" s="213">
        <v>101205.31200000001</v>
      </c>
      <c r="K43" s="213">
        <v>42500</v>
      </c>
      <c r="L43" s="213"/>
      <c r="M43" s="213">
        <f t="shared" si="35"/>
        <v>143705.31200000001</v>
      </c>
      <c r="N43" s="88"/>
      <c r="O43" s="405">
        <v>138146.48000000001</v>
      </c>
      <c r="P43" s="400"/>
      <c r="Q43">
        <f t="shared" si="36"/>
        <v>5525.8592000000008</v>
      </c>
      <c r="R43">
        <f t="shared" si="37"/>
        <v>143672.33920000002</v>
      </c>
      <c r="S43" s="89">
        <f t="shared" si="38"/>
        <v>-32.972799999988638</v>
      </c>
    </row>
    <row r="44" spans="2:19" ht="17.100000000000001" customHeight="1" x14ac:dyDescent="0.25">
      <c r="B44" s="211" t="s">
        <v>208</v>
      </c>
      <c r="C44" s="212" t="s">
        <v>209</v>
      </c>
      <c r="D44" s="213">
        <v>2212.0524562500063</v>
      </c>
      <c r="E44" s="213"/>
      <c r="F44" s="213"/>
      <c r="G44" s="213">
        <v>1248</v>
      </c>
      <c r="H44" s="213"/>
      <c r="I44" s="213"/>
      <c r="J44" s="213">
        <v>1297.92</v>
      </c>
      <c r="K44" s="213">
        <v>41500</v>
      </c>
      <c r="L44" s="213"/>
      <c r="M44" s="213">
        <f t="shared" si="35"/>
        <v>42797.919999999998</v>
      </c>
      <c r="N44" s="88"/>
      <c r="O44" s="405">
        <v>40961.31</v>
      </c>
      <c r="P44" s="400"/>
      <c r="Q44">
        <f t="shared" si="36"/>
        <v>1638.4523999999999</v>
      </c>
      <c r="R44">
        <f t="shared" si="37"/>
        <v>42599.7624</v>
      </c>
      <c r="S44" s="89">
        <f t="shared" si="38"/>
        <v>-198.15759999999864</v>
      </c>
    </row>
    <row r="45" spans="2:19" ht="17.100000000000001" customHeight="1" x14ac:dyDescent="0.25">
      <c r="B45" s="318"/>
      <c r="C45" s="319" t="s">
        <v>210</v>
      </c>
      <c r="D45" s="320"/>
      <c r="E45" s="320"/>
      <c r="F45" s="320"/>
      <c r="G45" s="320">
        <f>G46</f>
        <v>78000</v>
      </c>
      <c r="H45" s="320">
        <f t="shared" ref="H45:M45" si="39">H46</f>
        <v>0</v>
      </c>
      <c r="I45" s="320">
        <f t="shared" si="39"/>
        <v>0</v>
      </c>
      <c r="J45" s="320">
        <f t="shared" si="39"/>
        <v>81120</v>
      </c>
      <c r="K45" s="320">
        <f t="shared" si="39"/>
        <v>45000</v>
      </c>
      <c r="L45" s="320">
        <f t="shared" si="39"/>
        <v>0</v>
      </c>
      <c r="M45" s="320">
        <f t="shared" si="39"/>
        <v>126120</v>
      </c>
      <c r="N45" s="88"/>
      <c r="O45" s="404">
        <v>121242.9</v>
      </c>
      <c r="P45" s="400"/>
      <c r="S45" s="89"/>
    </row>
    <row r="46" spans="2:19" ht="17.100000000000001" customHeight="1" x14ac:dyDescent="0.25">
      <c r="B46" s="211" t="s">
        <v>211</v>
      </c>
      <c r="C46" s="212" t="s">
        <v>212</v>
      </c>
      <c r="D46" s="213">
        <v>78793.526385000005</v>
      </c>
      <c r="E46" s="213"/>
      <c r="F46" s="213"/>
      <c r="G46" s="213">
        <v>78000</v>
      </c>
      <c r="H46" s="213"/>
      <c r="I46" s="213"/>
      <c r="J46" s="213">
        <v>81120</v>
      </c>
      <c r="K46" s="213">
        <v>45000</v>
      </c>
      <c r="L46" s="213"/>
      <c r="M46" s="213">
        <f>J46+K46-L46</f>
        <v>126120</v>
      </c>
      <c r="N46" s="88"/>
      <c r="O46" s="405">
        <v>121242.9</v>
      </c>
      <c r="P46" s="400"/>
      <c r="Q46">
        <f t="shared" ref="Q46" si="40">O46*4%</f>
        <v>4849.7159999999994</v>
      </c>
      <c r="R46">
        <f t="shared" ref="R46" si="41">O46+Q46</f>
        <v>126092.61599999999</v>
      </c>
      <c r="S46" s="89">
        <f t="shared" ref="S46" si="42">R46-M46</f>
        <v>-27.384000000005472</v>
      </c>
    </row>
    <row r="47" spans="2:19" ht="17.100000000000001" customHeight="1" x14ac:dyDescent="0.25">
      <c r="B47" s="318"/>
      <c r="C47" s="319" t="s">
        <v>213</v>
      </c>
      <c r="D47" s="320"/>
      <c r="E47" s="320"/>
      <c r="F47" s="320"/>
      <c r="G47" s="320">
        <f>G48</f>
        <v>299447.2</v>
      </c>
      <c r="H47" s="320">
        <f t="shared" ref="H47:M47" si="43">H48</f>
        <v>0</v>
      </c>
      <c r="I47" s="320">
        <f t="shared" si="43"/>
        <v>0</v>
      </c>
      <c r="J47" s="320">
        <f t="shared" si="43"/>
        <v>311425.08800000005</v>
      </c>
      <c r="K47" s="320">
        <f t="shared" si="43"/>
        <v>73500</v>
      </c>
      <c r="L47" s="320">
        <f t="shared" si="43"/>
        <v>0</v>
      </c>
      <c r="M47" s="320">
        <f t="shared" si="43"/>
        <v>384925.08800000005</v>
      </c>
      <c r="N47" s="88"/>
      <c r="O47" s="404">
        <v>369975.93</v>
      </c>
      <c r="P47" s="400"/>
      <c r="S47" s="89"/>
    </row>
    <row r="48" spans="2:19" ht="17.100000000000001" customHeight="1" x14ac:dyDescent="0.25">
      <c r="B48" s="211" t="s">
        <v>214</v>
      </c>
      <c r="C48" s="212" t="s">
        <v>215</v>
      </c>
      <c r="D48" s="213">
        <v>179517.3960825</v>
      </c>
      <c r="E48" s="213"/>
      <c r="F48" s="213"/>
      <c r="G48" s="213">
        <v>299447.2</v>
      </c>
      <c r="H48" s="213"/>
      <c r="I48" s="213"/>
      <c r="J48" s="213">
        <v>311425.08800000005</v>
      </c>
      <c r="K48" s="213">
        <v>73500</v>
      </c>
      <c r="L48" s="213"/>
      <c r="M48" s="213">
        <f>J48+K48-L48</f>
        <v>384925.08800000005</v>
      </c>
      <c r="N48" s="88"/>
      <c r="O48" s="405">
        <v>369975.93</v>
      </c>
      <c r="P48" s="400"/>
      <c r="Q48">
        <f t="shared" ref="Q48" si="44">O48*4%</f>
        <v>14799.037200000001</v>
      </c>
      <c r="R48">
        <f t="shared" ref="R48" si="45">O48+Q48</f>
        <v>384774.96720000001</v>
      </c>
      <c r="S48" s="89">
        <f t="shared" ref="S48" si="46">R48-M48</f>
        <v>-150.12080000003334</v>
      </c>
    </row>
    <row r="49" spans="2:19" ht="17.100000000000001" customHeight="1" x14ac:dyDescent="0.25">
      <c r="B49" s="318"/>
      <c r="C49" s="319" t="s">
        <v>216</v>
      </c>
      <c r="D49" s="320"/>
      <c r="E49" s="320"/>
      <c r="F49" s="320"/>
      <c r="G49" s="320"/>
      <c r="H49" s="320"/>
      <c r="I49" s="320"/>
      <c r="J49" s="320">
        <v>0</v>
      </c>
      <c r="K49" s="320">
        <v>0</v>
      </c>
      <c r="L49" s="320">
        <v>0</v>
      </c>
      <c r="M49" s="320">
        <v>0</v>
      </c>
      <c r="N49" s="88"/>
      <c r="O49" s="404"/>
      <c r="P49" s="400"/>
      <c r="S49" s="89"/>
    </row>
    <row r="50" spans="2:19" ht="17.100000000000001" customHeight="1" x14ac:dyDescent="0.25">
      <c r="B50" s="318"/>
      <c r="C50" s="319" t="s">
        <v>217</v>
      </c>
      <c r="D50" s="320"/>
      <c r="E50" s="320"/>
      <c r="F50" s="320"/>
      <c r="G50" s="320">
        <f>SUM(G51:G57)</f>
        <v>10337.6</v>
      </c>
      <c r="H50" s="320">
        <f t="shared" ref="H50:J50" si="47">SUM(H51:H57)</f>
        <v>0</v>
      </c>
      <c r="I50" s="320">
        <f t="shared" si="47"/>
        <v>0</v>
      </c>
      <c r="J50" s="320">
        <f t="shared" si="47"/>
        <v>10751.103999999999</v>
      </c>
      <c r="K50" s="320">
        <f t="shared" ref="K50:M50" si="48">SUM(K51:K57)</f>
        <v>3900</v>
      </c>
      <c r="L50" s="320">
        <f t="shared" si="48"/>
        <v>0</v>
      </c>
      <c r="M50" s="320">
        <f t="shared" si="48"/>
        <v>14651.103999999999</v>
      </c>
      <c r="N50" s="88"/>
      <c r="O50" s="404">
        <v>13086.48</v>
      </c>
      <c r="P50" s="400"/>
      <c r="S50" s="89"/>
    </row>
    <row r="51" spans="2:19" ht="17.100000000000001" customHeight="1" x14ac:dyDescent="0.25">
      <c r="B51" s="211" t="s">
        <v>218</v>
      </c>
      <c r="C51" s="212" t="s">
        <v>219</v>
      </c>
      <c r="D51" s="213">
        <v>1275.5076074999999</v>
      </c>
      <c r="E51" s="213"/>
      <c r="F51" s="213"/>
      <c r="G51" s="213">
        <v>1123.2</v>
      </c>
      <c r="H51" s="213"/>
      <c r="I51" s="213"/>
      <c r="J51" s="213">
        <v>1168.1280000000002</v>
      </c>
      <c r="K51" s="213">
        <v>600</v>
      </c>
      <c r="L51" s="213"/>
      <c r="M51" s="213">
        <f t="shared" ref="M51:M57" si="49">J51+K51-L51</f>
        <v>1768.1280000000002</v>
      </c>
      <c r="N51" s="88"/>
      <c r="O51" s="405">
        <v>1670.0900000000001</v>
      </c>
      <c r="P51" s="400"/>
      <c r="Q51">
        <f t="shared" ref="Q51:Q57" si="50">O51*4%</f>
        <v>66.803600000000003</v>
      </c>
      <c r="R51">
        <f t="shared" ref="R51:R57" si="51">O51+Q51</f>
        <v>1736.8936000000001</v>
      </c>
      <c r="S51" s="89">
        <f t="shared" ref="S51:S57" si="52">R51-M51</f>
        <v>-31.234400000000051</v>
      </c>
    </row>
    <row r="52" spans="2:19" ht="17.100000000000001" customHeight="1" x14ac:dyDescent="0.25">
      <c r="B52" s="211" t="s">
        <v>220</v>
      </c>
      <c r="C52" s="212" t="s">
        <v>221</v>
      </c>
      <c r="D52" s="213">
        <v>385.80168374999994</v>
      </c>
      <c r="E52" s="213"/>
      <c r="F52" s="213"/>
      <c r="G52" s="213">
        <v>416</v>
      </c>
      <c r="H52" s="213"/>
      <c r="I52" s="213"/>
      <c r="J52" s="213">
        <v>432.64</v>
      </c>
      <c r="K52" s="213">
        <v>200</v>
      </c>
      <c r="L52" s="213"/>
      <c r="M52" s="213">
        <f t="shared" si="49"/>
        <v>632.64</v>
      </c>
      <c r="N52" s="88"/>
      <c r="O52" s="405">
        <v>231.16</v>
      </c>
      <c r="P52" s="400"/>
      <c r="Q52">
        <f t="shared" si="50"/>
        <v>9.2463999999999995</v>
      </c>
      <c r="R52">
        <f t="shared" si="51"/>
        <v>240.40639999999999</v>
      </c>
      <c r="S52" s="89">
        <f t="shared" si="52"/>
        <v>-392.23360000000002</v>
      </c>
    </row>
    <row r="53" spans="2:19" ht="17.100000000000001" customHeight="1" x14ac:dyDescent="0.25">
      <c r="B53" s="211" t="s">
        <v>222</v>
      </c>
      <c r="C53" s="212" t="s">
        <v>223</v>
      </c>
      <c r="D53" s="213">
        <v>4800.5877149999997</v>
      </c>
      <c r="E53" s="213"/>
      <c r="F53" s="213"/>
      <c r="G53" s="213">
        <v>5304</v>
      </c>
      <c r="H53" s="213"/>
      <c r="I53" s="213"/>
      <c r="J53" s="213">
        <v>5516.16</v>
      </c>
      <c r="K53" s="213">
        <v>1600</v>
      </c>
      <c r="L53" s="213"/>
      <c r="M53" s="213">
        <f t="shared" si="49"/>
        <v>7116.16</v>
      </c>
      <c r="N53" s="88"/>
      <c r="O53" s="405">
        <v>6789.58</v>
      </c>
      <c r="P53" s="400"/>
      <c r="Q53">
        <f t="shared" si="50"/>
        <v>271.58319999999998</v>
      </c>
      <c r="R53">
        <f t="shared" si="51"/>
        <v>7061.1632</v>
      </c>
      <c r="S53" s="89">
        <f t="shared" si="52"/>
        <v>-54.996799999999894</v>
      </c>
    </row>
    <row r="54" spans="2:19" ht="17.100000000000001" customHeight="1" x14ac:dyDescent="0.25">
      <c r="B54" s="211" t="s">
        <v>224</v>
      </c>
      <c r="C54" s="212" t="s">
        <v>225</v>
      </c>
      <c r="D54" s="213">
        <v>6514.7619599999998</v>
      </c>
      <c r="E54" s="213"/>
      <c r="F54" s="213"/>
      <c r="G54" s="213">
        <v>3120</v>
      </c>
      <c r="H54" s="213"/>
      <c r="I54" s="213"/>
      <c r="J54" s="213">
        <v>3244.8</v>
      </c>
      <c r="K54" s="213">
        <v>1500</v>
      </c>
      <c r="L54" s="213"/>
      <c r="M54" s="213">
        <f t="shared" si="49"/>
        <v>4744.8</v>
      </c>
      <c r="N54" s="88"/>
      <c r="O54" s="405">
        <v>4395.6499999999996</v>
      </c>
      <c r="P54" s="400"/>
      <c r="Q54">
        <f t="shared" si="50"/>
        <v>175.82599999999999</v>
      </c>
      <c r="R54">
        <f t="shared" si="51"/>
        <v>4571.4759999999997</v>
      </c>
      <c r="S54" s="89">
        <f t="shared" si="52"/>
        <v>-173.32400000000052</v>
      </c>
    </row>
    <row r="55" spans="2:19" ht="17.100000000000001" customHeight="1" x14ac:dyDescent="0.25">
      <c r="B55" s="211" t="s">
        <v>226</v>
      </c>
      <c r="C55" s="212" t="s">
        <v>227</v>
      </c>
      <c r="D55" s="213">
        <v>191.21366249999997</v>
      </c>
      <c r="E55" s="213"/>
      <c r="F55" s="213"/>
      <c r="G55" s="213">
        <v>270.40000000000003</v>
      </c>
      <c r="H55" s="213"/>
      <c r="I55" s="213"/>
      <c r="J55" s="213">
        <v>281.21600000000007</v>
      </c>
      <c r="K55" s="213"/>
      <c r="L55" s="213"/>
      <c r="M55" s="213">
        <f t="shared" si="49"/>
        <v>281.21600000000007</v>
      </c>
      <c r="N55" s="88"/>
      <c r="O55" s="405">
        <v>0</v>
      </c>
      <c r="P55" s="400"/>
      <c r="Q55">
        <f t="shared" si="50"/>
        <v>0</v>
      </c>
      <c r="R55">
        <f t="shared" si="51"/>
        <v>0</v>
      </c>
      <c r="S55" s="89">
        <f t="shared" si="52"/>
        <v>-281.21600000000007</v>
      </c>
    </row>
    <row r="56" spans="2:19" ht="17.100000000000001" customHeight="1" x14ac:dyDescent="0.25">
      <c r="B56" s="211" t="s">
        <v>228</v>
      </c>
      <c r="C56" s="212" t="s">
        <v>229</v>
      </c>
      <c r="D56" s="213">
        <v>116.97776999999999</v>
      </c>
      <c r="E56" s="213"/>
      <c r="F56" s="213"/>
      <c r="G56" s="213">
        <v>104</v>
      </c>
      <c r="H56" s="213"/>
      <c r="I56" s="213"/>
      <c r="J56" s="213">
        <v>108.16</v>
      </c>
      <c r="K56" s="213"/>
      <c r="L56" s="213"/>
      <c r="M56" s="213">
        <f t="shared" si="49"/>
        <v>108.16</v>
      </c>
      <c r="N56" s="88"/>
      <c r="O56" s="405">
        <v>0</v>
      </c>
      <c r="P56" s="400"/>
      <c r="Q56">
        <f t="shared" si="50"/>
        <v>0</v>
      </c>
      <c r="R56">
        <f t="shared" si="51"/>
        <v>0</v>
      </c>
      <c r="S56" s="89">
        <f t="shared" si="52"/>
        <v>-108.16</v>
      </c>
    </row>
    <row r="57" spans="2:19" ht="17.100000000000001" customHeight="1" x14ac:dyDescent="0.25">
      <c r="B57" s="211" t="s">
        <v>230</v>
      </c>
      <c r="C57" s="212" t="s">
        <v>231</v>
      </c>
      <c r="D57" s="213">
        <v>1</v>
      </c>
      <c r="E57" s="213"/>
      <c r="F57" s="213"/>
      <c r="G57" s="213">
        <v>0</v>
      </c>
      <c r="H57" s="213"/>
      <c r="I57" s="213"/>
      <c r="J57" s="213">
        <v>0</v>
      </c>
      <c r="K57" s="213"/>
      <c r="L57" s="213"/>
      <c r="M57" s="213">
        <f t="shared" si="49"/>
        <v>0</v>
      </c>
      <c r="N57" s="88"/>
      <c r="O57" s="405">
        <v>0</v>
      </c>
      <c r="P57" s="400"/>
      <c r="Q57">
        <f t="shared" si="50"/>
        <v>0</v>
      </c>
      <c r="R57">
        <f t="shared" si="51"/>
        <v>0</v>
      </c>
      <c r="S57" s="89">
        <f t="shared" si="52"/>
        <v>0</v>
      </c>
    </row>
    <row r="58" spans="2:19" ht="17.100000000000001" customHeight="1" x14ac:dyDescent="0.25">
      <c r="B58" s="318"/>
      <c r="C58" s="319" t="s">
        <v>232</v>
      </c>
      <c r="D58" s="320"/>
      <c r="E58" s="320"/>
      <c r="F58" s="320"/>
      <c r="G58" s="320">
        <f>SUM(G59:G66)</f>
        <v>355749.6</v>
      </c>
      <c r="H58" s="320">
        <f t="shared" ref="H58:J58" si="53">SUM(H59:H66)</f>
        <v>0</v>
      </c>
      <c r="I58" s="320">
        <f t="shared" si="53"/>
        <v>0</v>
      </c>
      <c r="J58" s="320">
        <f t="shared" si="53"/>
        <v>369979.58400000003</v>
      </c>
      <c r="K58" s="320">
        <f t="shared" ref="K58:M58" si="54">SUM(K59:K66)</f>
        <v>42000</v>
      </c>
      <c r="L58" s="320">
        <f t="shared" si="54"/>
        <v>52000</v>
      </c>
      <c r="M58" s="320">
        <f t="shared" si="54"/>
        <v>359979.58400000003</v>
      </c>
      <c r="N58" s="88"/>
      <c r="O58" s="404">
        <v>306020.74</v>
      </c>
      <c r="P58" s="400"/>
      <c r="S58" s="89"/>
    </row>
    <row r="59" spans="2:19" ht="17.100000000000001" customHeight="1" x14ac:dyDescent="0.25">
      <c r="B59" s="211"/>
      <c r="C59" s="212" t="s">
        <v>233</v>
      </c>
      <c r="D59" s="213">
        <v>1</v>
      </c>
      <c r="E59" s="213"/>
      <c r="F59" s="213"/>
      <c r="G59" s="213">
        <v>0</v>
      </c>
      <c r="H59" s="213"/>
      <c r="I59" s="213"/>
      <c r="J59" s="213">
        <v>0</v>
      </c>
      <c r="K59" s="213"/>
      <c r="L59" s="213"/>
      <c r="M59" s="213">
        <f t="shared" ref="M59:M66" si="55">J59+K59-L59</f>
        <v>0</v>
      </c>
      <c r="N59" s="88"/>
      <c r="O59" s="405">
        <v>0</v>
      </c>
      <c r="P59" s="400"/>
      <c r="Q59">
        <f t="shared" ref="Q59:Q66" si="56">O59*4%</f>
        <v>0</v>
      </c>
      <c r="R59">
        <f t="shared" ref="R59:R66" si="57">O59+Q59</f>
        <v>0</v>
      </c>
      <c r="S59" s="89">
        <f t="shared" ref="S59:S66" si="58">R59-M59</f>
        <v>0</v>
      </c>
    </row>
    <row r="60" spans="2:19" ht="17.100000000000001" customHeight="1" x14ac:dyDescent="0.25">
      <c r="B60" s="211"/>
      <c r="C60" s="212" t="s">
        <v>234</v>
      </c>
      <c r="D60" s="213">
        <v>1</v>
      </c>
      <c r="E60" s="213"/>
      <c r="F60" s="213"/>
      <c r="G60" s="213">
        <v>0</v>
      </c>
      <c r="H60" s="213"/>
      <c r="I60" s="213"/>
      <c r="J60" s="213">
        <v>0</v>
      </c>
      <c r="K60" s="213"/>
      <c r="L60" s="213"/>
      <c r="M60" s="213">
        <f t="shared" si="55"/>
        <v>0</v>
      </c>
      <c r="N60" s="88"/>
      <c r="O60" s="405">
        <v>0</v>
      </c>
      <c r="P60" s="400"/>
      <c r="Q60">
        <f t="shared" si="56"/>
        <v>0</v>
      </c>
      <c r="R60">
        <f t="shared" si="57"/>
        <v>0</v>
      </c>
      <c r="S60" s="89">
        <f t="shared" si="58"/>
        <v>0</v>
      </c>
    </row>
    <row r="61" spans="2:19" ht="17.100000000000001" customHeight="1" x14ac:dyDescent="0.25">
      <c r="B61" s="211"/>
      <c r="C61" s="212" t="s">
        <v>235</v>
      </c>
      <c r="D61" s="213">
        <v>4499.1449999999995</v>
      </c>
      <c r="E61" s="213"/>
      <c r="F61" s="213"/>
      <c r="G61" s="213">
        <v>6385.6</v>
      </c>
      <c r="H61" s="213"/>
      <c r="I61" s="213"/>
      <c r="J61" s="213">
        <v>6641.0240000000003</v>
      </c>
      <c r="K61" s="213"/>
      <c r="L61" s="213">
        <v>2000</v>
      </c>
      <c r="M61" s="213">
        <f t="shared" si="55"/>
        <v>4641.0240000000003</v>
      </c>
      <c r="N61" s="88"/>
      <c r="O61" s="405">
        <v>1850.9500000000007</v>
      </c>
      <c r="P61" s="400"/>
      <c r="Q61">
        <f t="shared" si="56"/>
        <v>74.038000000000025</v>
      </c>
      <c r="R61">
        <f t="shared" si="57"/>
        <v>1924.9880000000007</v>
      </c>
      <c r="S61" s="89">
        <f t="shared" si="58"/>
        <v>-2716.0359999999996</v>
      </c>
    </row>
    <row r="62" spans="2:19" ht="17.100000000000001" customHeight="1" x14ac:dyDescent="0.25">
      <c r="B62" s="211" t="s">
        <v>236</v>
      </c>
      <c r="C62" s="212" t="s">
        <v>237</v>
      </c>
      <c r="D62" s="213">
        <v>32066.531201249996</v>
      </c>
      <c r="E62" s="213"/>
      <c r="F62" s="213"/>
      <c r="G62" s="213">
        <v>64376</v>
      </c>
      <c r="H62" s="213"/>
      <c r="I62" s="213"/>
      <c r="J62" s="213">
        <v>66951.040000000008</v>
      </c>
      <c r="K62" s="213">
        <v>31000</v>
      </c>
      <c r="L62" s="213"/>
      <c r="M62" s="213">
        <f t="shared" si="55"/>
        <v>97951.040000000008</v>
      </c>
      <c r="N62" s="88"/>
      <c r="O62" s="405">
        <v>94183.709999999992</v>
      </c>
      <c r="P62" s="400"/>
      <c r="Q62">
        <f t="shared" si="56"/>
        <v>3767.3483999999999</v>
      </c>
      <c r="R62">
        <f t="shared" si="57"/>
        <v>97951.058399999994</v>
      </c>
      <c r="S62" s="89">
        <f t="shared" si="58"/>
        <v>1.8399999986286275E-2</v>
      </c>
    </row>
    <row r="63" spans="2:19" ht="17.100000000000001" customHeight="1" x14ac:dyDescent="0.25">
      <c r="B63" s="211" t="s">
        <v>238</v>
      </c>
      <c r="C63" s="212" t="s">
        <v>239</v>
      </c>
      <c r="D63" s="213">
        <v>110667.71913749998</v>
      </c>
      <c r="E63" s="213"/>
      <c r="F63" s="213"/>
      <c r="G63" s="213">
        <v>104988</v>
      </c>
      <c r="H63" s="213"/>
      <c r="I63" s="213"/>
      <c r="J63" s="213">
        <v>109187.52</v>
      </c>
      <c r="K63" s="213">
        <v>11000</v>
      </c>
      <c r="L63" s="213"/>
      <c r="M63" s="213">
        <f t="shared" si="55"/>
        <v>120187.52</v>
      </c>
      <c r="N63" s="88"/>
      <c r="O63" s="405">
        <v>115314.44</v>
      </c>
      <c r="P63" s="400"/>
      <c r="Q63">
        <f t="shared" si="56"/>
        <v>4612.5776000000005</v>
      </c>
      <c r="R63">
        <f t="shared" si="57"/>
        <v>119927.01760000001</v>
      </c>
      <c r="S63" s="89">
        <f t="shared" si="58"/>
        <v>-260.50239999999758</v>
      </c>
    </row>
    <row r="64" spans="2:19" ht="17.100000000000001" customHeight="1" x14ac:dyDescent="0.25">
      <c r="B64" s="211"/>
      <c r="C64" s="212" t="s">
        <v>240</v>
      </c>
      <c r="D64" s="213">
        <v>1</v>
      </c>
      <c r="E64" s="213"/>
      <c r="F64" s="213"/>
      <c r="G64" s="213">
        <v>0</v>
      </c>
      <c r="H64" s="213"/>
      <c r="I64" s="213"/>
      <c r="J64" s="213">
        <v>0</v>
      </c>
      <c r="K64" s="213"/>
      <c r="L64" s="213"/>
      <c r="M64" s="213">
        <f t="shared" si="55"/>
        <v>0</v>
      </c>
      <c r="N64" s="88"/>
      <c r="O64" s="405">
        <v>0</v>
      </c>
      <c r="P64" s="400"/>
      <c r="Q64">
        <f t="shared" si="56"/>
        <v>0</v>
      </c>
      <c r="R64">
        <f t="shared" si="57"/>
        <v>0</v>
      </c>
      <c r="S64" s="89">
        <f t="shared" si="58"/>
        <v>0</v>
      </c>
    </row>
    <row r="65" spans="2:19" ht="17.100000000000001" customHeight="1" x14ac:dyDescent="0.25">
      <c r="B65" s="211"/>
      <c r="C65" s="212" t="s">
        <v>241</v>
      </c>
      <c r="D65" s="213">
        <v>5322.901499999999</v>
      </c>
      <c r="E65" s="213"/>
      <c r="F65" s="213"/>
      <c r="G65" s="213">
        <v>0</v>
      </c>
      <c r="H65" s="213"/>
      <c r="I65" s="213"/>
      <c r="J65" s="213">
        <v>0</v>
      </c>
      <c r="K65" s="213"/>
      <c r="L65" s="213"/>
      <c r="M65" s="213">
        <f t="shared" si="55"/>
        <v>0</v>
      </c>
      <c r="N65" s="88"/>
      <c r="O65" s="405">
        <v>0</v>
      </c>
      <c r="P65" s="400"/>
      <c r="Q65">
        <f t="shared" si="56"/>
        <v>0</v>
      </c>
      <c r="R65">
        <f t="shared" si="57"/>
        <v>0</v>
      </c>
      <c r="S65" s="89">
        <f t="shared" si="58"/>
        <v>0</v>
      </c>
    </row>
    <row r="66" spans="2:19" ht="17.100000000000001" customHeight="1" x14ac:dyDescent="0.25">
      <c r="B66" s="211" t="s">
        <v>242</v>
      </c>
      <c r="C66" s="212" t="s">
        <v>243</v>
      </c>
      <c r="D66" s="213">
        <v>106197.07958999999</v>
      </c>
      <c r="E66" s="213"/>
      <c r="F66" s="213"/>
      <c r="G66" s="213">
        <v>180000</v>
      </c>
      <c r="H66" s="213"/>
      <c r="I66" s="213"/>
      <c r="J66" s="213">
        <v>187200</v>
      </c>
      <c r="K66" s="213"/>
      <c r="L66" s="213">
        <v>50000</v>
      </c>
      <c r="M66" s="213">
        <f t="shared" si="55"/>
        <v>137200</v>
      </c>
      <c r="N66" s="88"/>
      <c r="O66" s="405">
        <v>94671.64</v>
      </c>
      <c r="P66" s="400"/>
      <c r="Q66">
        <f t="shared" si="56"/>
        <v>3786.8656000000001</v>
      </c>
      <c r="R66">
        <f t="shared" si="57"/>
        <v>98458.505600000004</v>
      </c>
      <c r="S66" s="89">
        <f t="shared" si="58"/>
        <v>-38741.494399999996</v>
      </c>
    </row>
    <row r="67" spans="2:19" ht="17.100000000000001" customHeight="1" x14ac:dyDescent="0.25">
      <c r="B67" s="318"/>
      <c r="C67" s="319" t="s">
        <v>244</v>
      </c>
      <c r="D67" s="320"/>
      <c r="E67" s="320"/>
      <c r="F67" s="320"/>
      <c r="G67" s="320">
        <f>SUM(G68:G69)</f>
        <v>228800</v>
      </c>
      <c r="H67" s="320">
        <f t="shared" ref="H67:J67" si="59">SUM(H68:H69)</f>
        <v>0</v>
      </c>
      <c r="I67" s="320">
        <f t="shared" si="59"/>
        <v>0</v>
      </c>
      <c r="J67" s="320">
        <f t="shared" si="59"/>
        <v>237952</v>
      </c>
      <c r="K67" s="320">
        <f t="shared" ref="K67:M67" si="60">SUM(K68:K69)</f>
        <v>106000</v>
      </c>
      <c r="L67" s="320">
        <f t="shared" si="60"/>
        <v>0</v>
      </c>
      <c r="M67" s="320">
        <f t="shared" si="60"/>
        <v>343952</v>
      </c>
      <c r="N67" s="88"/>
      <c r="O67" s="404">
        <v>329936.64000000001</v>
      </c>
      <c r="P67" s="400"/>
      <c r="S67" s="89"/>
    </row>
    <row r="68" spans="2:19" ht="17.100000000000001" customHeight="1" x14ac:dyDescent="0.25">
      <c r="B68" s="211" t="s">
        <v>245</v>
      </c>
      <c r="C68" s="212" t="s">
        <v>246</v>
      </c>
      <c r="D68" s="213">
        <v>220028.83875</v>
      </c>
      <c r="E68" s="213"/>
      <c r="F68" s="213"/>
      <c r="G68" s="213">
        <v>228800</v>
      </c>
      <c r="H68" s="213"/>
      <c r="I68" s="213"/>
      <c r="J68" s="213">
        <v>237952</v>
      </c>
      <c r="K68" s="213">
        <v>106000</v>
      </c>
      <c r="L68" s="213"/>
      <c r="M68" s="213">
        <f t="shared" ref="M68:M69" si="61">J68+K68-L68</f>
        <v>343952</v>
      </c>
      <c r="N68" s="88"/>
      <c r="O68" s="405">
        <v>329936.64000000001</v>
      </c>
      <c r="P68" s="400"/>
      <c r="Q68">
        <f t="shared" ref="Q68:Q69" si="62">O68*4%</f>
        <v>13197.465600000001</v>
      </c>
      <c r="R68">
        <f t="shared" ref="R68:R69" si="63">O68+Q68</f>
        <v>343134.10560000001</v>
      </c>
      <c r="S68" s="89">
        <f t="shared" ref="S68:S69" si="64">R68-M68</f>
        <v>-817.89439999999013</v>
      </c>
    </row>
    <row r="69" spans="2:19" ht="17.100000000000001" customHeight="1" x14ac:dyDescent="0.25">
      <c r="B69" s="211"/>
      <c r="C69" s="212" t="s">
        <v>247</v>
      </c>
      <c r="D69" s="213">
        <v>1</v>
      </c>
      <c r="E69" s="213"/>
      <c r="F69" s="213"/>
      <c r="G69" s="213">
        <v>0</v>
      </c>
      <c r="H69" s="213"/>
      <c r="I69" s="213"/>
      <c r="J69" s="213">
        <f>G69+H69-I69</f>
        <v>0</v>
      </c>
      <c r="K69" s="213"/>
      <c r="L69" s="213"/>
      <c r="M69" s="213">
        <f t="shared" si="61"/>
        <v>0</v>
      </c>
      <c r="N69" s="88"/>
      <c r="O69" s="405">
        <v>0</v>
      </c>
      <c r="P69" s="400"/>
      <c r="Q69">
        <f t="shared" si="62"/>
        <v>0</v>
      </c>
      <c r="R69">
        <f t="shared" si="63"/>
        <v>0</v>
      </c>
      <c r="S69" s="89">
        <f t="shared" si="64"/>
        <v>0</v>
      </c>
    </row>
    <row r="70" spans="2:19" ht="17.100000000000001" customHeight="1" x14ac:dyDescent="0.25">
      <c r="B70" s="318"/>
      <c r="C70" s="319" t="s">
        <v>248</v>
      </c>
      <c r="D70" s="320"/>
      <c r="E70" s="320"/>
      <c r="F70" s="320"/>
      <c r="G70" s="320"/>
      <c r="H70" s="320"/>
      <c r="I70" s="320"/>
      <c r="J70" s="320">
        <v>0</v>
      </c>
      <c r="K70" s="320">
        <v>0</v>
      </c>
      <c r="L70" s="320">
        <v>0</v>
      </c>
      <c r="M70" s="320">
        <v>0</v>
      </c>
      <c r="N70" s="88"/>
      <c r="O70" s="404"/>
      <c r="P70" s="400"/>
    </row>
    <row r="71" spans="2:19" ht="17.100000000000001" customHeight="1" x14ac:dyDescent="0.25">
      <c r="B71" s="321"/>
      <c r="C71" s="322" t="s">
        <v>249</v>
      </c>
      <c r="D71" s="323"/>
      <c r="E71" s="323"/>
      <c r="F71" s="323"/>
      <c r="G71" s="323">
        <f>G72+G78+G84+G90+G105+G113</f>
        <v>4189846.8000000003</v>
      </c>
      <c r="H71" s="323">
        <f t="shared" ref="H71:I71" si="65">H72+H78+H84+H90+H105+H113</f>
        <v>1794095.96</v>
      </c>
      <c r="I71" s="323">
        <f t="shared" si="65"/>
        <v>0</v>
      </c>
      <c r="J71" s="323">
        <f>J72+J78+J84+J90+J105+J113</f>
        <v>4357440.6720000003</v>
      </c>
      <c r="K71" s="323">
        <f>K72+K78+K84+K90+K105+K113</f>
        <v>3639106.23</v>
      </c>
      <c r="L71" s="323">
        <f>L72+L78+L84+L90+L105+L113</f>
        <v>20000</v>
      </c>
      <c r="M71" s="323">
        <f>M72+M78+M84+M90+M105+M113</f>
        <v>7976546.9019999998</v>
      </c>
      <c r="N71" s="88"/>
      <c r="O71" s="403">
        <v>5815994.6600000001</v>
      </c>
      <c r="P71" s="400"/>
    </row>
    <row r="72" spans="2:19" ht="17.100000000000001" customHeight="1" x14ac:dyDescent="0.25">
      <c r="B72" s="318"/>
      <c r="C72" s="319" t="s">
        <v>250</v>
      </c>
      <c r="D72" s="320"/>
      <c r="E72" s="320"/>
      <c r="F72" s="320"/>
      <c r="G72" s="320">
        <f>SUM(G73:G77)</f>
        <v>2930699.2</v>
      </c>
      <c r="H72" s="320">
        <f t="shared" ref="H72:J72" si="66">SUM(H73:H77)</f>
        <v>0</v>
      </c>
      <c r="I72" s="320">
        <f t="shared" si="66"/>
        <v>0</v>
      </c>
      <c r="J72" s="320">
        <f t="shared" si="66"/>
        <v>3047927.1680000001</v>
      </c>
      <c r="K72" s="320">
        <f t="shared" ref="K72:M72" si="67">SUM(K73:K77)</f>
        <v>676500</v>
      </c>
      <c r="L72" s="320">
        <f t="shared" si="67"/>
        <v>20000</v>
      </c>
      <c r="M72" s="320">
        <f t="shared" si="67"/>
        <v>3704427.1680000001</v>
      </c>
      <c r="N72" s="88"/>
      <c r="O72" s="404">
        <v>3541615.61</v>
      </c>
      <c r="P72" s="400"/>
    </row>
    <row r="73" spans="2:19" ht="17.100000000000001" customHeight="1" x14ac:dyDescent="0.25">
      <c r="B73" s="211" t="s">
        <v>251</v>
      </c>
      <c r="C73" s="212" t="s">
        <v>252</v>
      </c>
      <c r="D73" s="213">
        <v>1674333.1912387498</v>
      </c>
      <c r="E73" s="213"/>
      <c r="F73" s="213"/>
      <c r="G73" s="213">
        <v>2058004</v>
      </c>
      <c r="H73" s="213"/>
      <c r="I73" s="213"/>
      <c r="J73" s="213">
        <v>2140324.16</v>
      </c>
      <c r="K73" s="213">
        <v>378500</v>
      </c>
      <c r="L73" s="213"/>
      <c r="M73" s="213">
        <f t="shared" ref="M73:M77" si="68">J73+K73-L73</f>
        <v>2518824.16</v>
      </c>
      <c r="N73" s="88"/>
      <c r="O73" s="405">
        <v>2412508.59</v>
      </c>
      <c r="P73" s="400">
        <v>4.3999999999999997E-2</v>
      </c>
      <c r="Q73">
        <f>O73*P73</f>
        <v>106150.37795999998</v>
      </c>
      <c r="R73" s="89">
        <f t="shared" ref="R73:R82" si="69">O73+Q73</f>
        <v>2518658.96796</v>
      </c>
      <c r="S73" s="89">
        <f t="shared" ref="S73:S82" si="70">R73-M73</f>
        <v>-165.19204000011086</v>
      </c>
    </row>
    <row r="74" spans="2:19" ht="17.100000000000001" customHeight="1" x14ac:dyDescent="0.25">
      <c r="B74" s="211" t="s">
        <v>253</v>
      </c>
      <c r="C74" s="212" t="s">
        <v>254</v>
      </c>
      <c r="D74" s="213">
        <v>320402.11202999996</v>
      </c>
      <c r="E74" s="213"/>
      <c r="F74" s="213"/>
      <c r="G74" s="213">
        <v>503297.60000000003</v>
      </c>
      <c r="H74" s="213"/>
      <c r="I74" s="213"/>
      <c r="J74" s="213">
        <v>523429.50400000007</v>
      </c>
      <c r="K74" s="213">
        <v>236000</v>
      </c>
      <c r="L74" s="213"/>
      <c r="M74" s="213">
        <f t="shared" si="68"/>
        <v>759429.50400000007</v>
      </c>
      <c r="N74" s="88"/>
      <c r="O74" s="405">
        <v>727814.21</v>
      </c>
      <c r="P74" s="400">
        <v>4.3999999999999997E-2</v>
      </c>
      <c r="Q74">
        <f t="shared" ref="Q74:Q77" si="71">O74*P74</f>
        <v>32023.825239999998</v>
      </c>
      <c r="R74" s="89">
        <f t="shared" si="69"/>
        <v>759838.03524</v>
      </c>
      <c r="S74" s="89">
        <f t="shared" si="70"/>
        <v>408.53123999992386</v>
      </c>
    </row>
    <row r="75" spans="2:19" ht="17.100000000000001" customHeight="1" x14ac:dyDescent="0.25">
      <c r="B75" s="211" t="s">
        <v>255</v>
      </c>
      <c r="C75" s="212" t="s">
        <v>256</v>
      </c>
      <c r="D75" s="213">
        <v>144468.67073625</v>
      </c>
      <c r="E75" s="213"/>
      <c r="F75" s="213"/>
      <c r="G75" s="213">
        <v>201167.2</v>
      </c>
      <c r="H75" s="213"/>
      <c r="I75" s="213"/>
      <c r="J75" s="213">
        <v>209213.88800000001</v>
      </c>
      <c r="K75" s="213"/>
      <c r="L75" s="213">
        <v>20000</v>
      </c>
      <c r="M75" s="213">
        <f t="shared" si="68"/>
        <v>189213.88800000001</v>
      </c>
      <c r="N75" s="88"/>
      <c r="O75" s="405">
        <v>174567.43000000002</v>
      </c>
      <c r="P75" s="400">
        <v>4.3999999999999997E-2</v>
      </c>
      <c r="Q75">
        <f t="shared" si="71"/>
        <v>7680.9669200000008</v>
      </c>
      <c r="R75" s="89">
        <f t="shared" si="69"/>
        <v>182248.39692000003</v>
      </c>
      <c r="S75" s="89">
        <f t="shared" si="70"/>
        <v>-6965.491079999978</v>
      </c>
    </row>
    <row r="76" spans="2:19" ht="17.100000000000001" customHeight="1" x14ac:dyDescent="0.25">
      <c r="B76" s="211" t="s">
        <v>257</v>
      </c>
      <c r="C76" s="212" t="s">
        <v>258</v>
      </c>
      <c r="D76" s="213">
        <v>135321.90895124999</v>
      </c>
      <c r="E76" s="213"/>
      <c r="F76" s="213"/>
      <c r="G76" s="213">
        <v>168230.39999999999</v>
      </c>
      <c r="H76" s="213"/>
      <c r="I76" s="213"/>
      <c r="J76" s="213">
        <v>174959.61600000001</v>
      </c>
      <c r="K76" s="213">
        <v>62000</v>
      </c>
      <c r="L76" s="213"/>
      <c r="M76" s="213">
        <f t="shared" si="68"/>
        <v>236959.61600000001</v>
      </c>
      <c r="N76" s="88"/>
      <c r="O76" s="405">
        <v>226725.38</v>
      </c>
      <c r="P76" s="400">
        <v>4.3999999999999997E-2</v>
      </c>
      <c r="Q76">
        <f t="shared" si="71"/>
        <v>9975.9167199999993</v>
      </c>
      <c r="R76" s="89">
        <f t="shared" si="69"/>
        <v>236701.29672000001</v>
      </c>
      <c r="S76" s="89">
        <f t="shared" si="70"/>
        <v>-258.31927999999607</v>
      </c>
    </row>
    <row r="77" spans="2:19" ht="17.100000000000001" customHeight="1" x14ac:dyDescent="0.25">
      <c r="B77" s="211"/>
      <c r="C77" s="212" t="s">
        <v>259</v>
      </c>
      <c r="D77" s="213">
        <v>1</v>
      </c>
      <c r="E77" s="213"/>
      <c r="F77" s="213"/>
      <c r="G77" s="213">
        <v>0</v>
      </c>
      <c r="H77" s="213"/>
      <c r="I77" s="213"/>
      <c r="J77" s="213">
        <v>0</v>
      </c>
      <c r="K77" s="213"/>
      <c r="L77" s="213"/>
      <c r="M77" s="213">
        <f t="shared" si="68"/>
        <v>0</v>
      </c>
      <c r="N77" s="88"/>
      <c r="O77" s="405">
        <v>0</v>
      </c>
      <c r="P77" s="400">
        <v>4.3999999999999997E-2</v>
      </c>
      <c r="Q77">
        <f t="shared" si="71"/>
        <v>0</v>
      </c>
      <c r="R77" s="89">
        <f t="shared" si="69"/>
        <v>0</v>
      </c>
      <c r="S77" s="89">
        <f t="shared" si="70"/>
        <v>0</v>
      </c>
    </row>
    <row r="78" spans="2:19" ht="17.100000000000001" customHeight="1" x14ac:dyDescent="0.25">
      <c r="B78" s="318"/>
      <c r="C78" s="319" t="s">
        <v>260</v>
      </c>
      <c r="D78" s="320"/>
      <c r="E78" s="320"/>
      <c r="F78" s="320"/>
      <c r="G78" s="320">
        <f>SUM(G79:G83)</f>
        <v>231192.00000000003</v>
      </c>
      <c r="H78" s="320">
        <f t="shared" ref="H78:J78" si="72">SUM(H79:H83)</f>
        <v>0</v>
      </c>
      <c r="I78" s="320">
        <f t="shared" si="72"/>
        <v>0</v>
      </c>
      <c r="J78" s="320">
        <f t="shared" si="72"/>
        <v>240439.67999999999</v>
      </c>
      <c r="K78" s="320">
        <f t="shared" ref="K78:M78" si="73">SUM(K79:K83)</f>
        <v>112200</v>
      </c>
      <c r="L78" s="320">
        <f t="shared" si="73"/>
        <v>0</v>
      </c>
      <c r="M78" s="320">
        <f t="shared" si="73"/>
        <v>352639.68000000005</v>
      </c>
      <c r="N78" s="88"/>
      <c r="O78" s="404">
        <v>333022.63</v>
      </c>
      <c r="P78" s="400"/>
      <c r="S78" s="89"/>
    </row>
    <row r="79" spans="2:19" ht="17.100000000000001" customHeight="1" x14ac:dyDescent="0.25">
      <c r="B79" s="211" t="s">
        <v>261</v>
      </c>
      <c r="C79" s="212" t="s">
        <v>262</v>
      </c>
      <c r="D79" s="213">
        <v>139057.32408749999</v>
      </c>
      <c r="E79" s="213"/>
      <c r="F79" s="213"/>
      <c r="G79" s="213">
        <v>168667.2</v>
      </c>
      <c r="H79" s="213"/>
      <c r="I79" s="213"/>
      <c r="J79" s="213">
        <v>175413.88800000001</v>
      </c>
      <c r="K79" s="213">
        <v>81700</v>
      </c>
      <c r="L79" s="213"/>
      <c r="M79" s="213">
        <f>J79+K79-L79</f>
        <v>257113.88800000001</v>
      </c>
      <c r="N79" s="88"/>
      <c r="O79" s="405">
        <v>246209.80000000002</v>
      </c>
      <c r="P79" s="400">
        <v>4.3999999999999997E-2</v>
      </c>
      <c r="Q79">
        <f>O79*P79</f>
        <v>10833.2312</v>
      </c>
      <c r="R79" s="89">
        <f t="shared" si="69"/>
        <v>257043.03120000003</v>
      </c>
      <c r="S79" s="89">
        <f t="shared" si="70"/>
        <v>-70.856799999979557</v>
      </c>
    </row>
    <row r="80" spans="2:19" ht="17.100000000000001" customHeight="1" x14ac:dyDescent="0.25">
      <c r="B80" s="211" t="s">
        <v>263</v>
      </c>
      <c r="C80" s="212" t="s">
        <v>264</v>
      </c>
      <c r="D80" s="213">
        <v>26153.529884999996</v>
      </c>
      <c r="E80" s="213"/>
      <c r="F80" s="213"/>
      <c r="G80" s="213">
        <v>37055.200000000004</v>
      </c>
      <c r="H80" s="213"/>
      <c r="I80" s="213"/>
      <c r="J80" s="213">
        <v>38537.408000000003</v>
      </c>
      <c r="K80" s="213">
        <v>22500</v>
      </c>
      <c r="L80" s="213"/>
      <c r="M80" s="213">
        <f t="shared" ref="M80:M83" si="74">J80+K80-L80</f>
        <v>61037.408000000003</v>
      </c>
      <c r="N80" s="88"/>
      <c r="O80" s="405">
        <v>58211.58</v>
      </c>
      <c r="P80" s="400">
        <v>4.3999999999999997E-2</v>
      </c>
      <c r="Q80">
        <f t="shared" ref="Q80:Q83" si="75">O80*P80</f>
        <v>2561.3095199999998</v>
      </c>
      <c r="R80" s="89">
        <f t="shared" si="69"/>
        <v>60772.889520000004</v>
      </c>
      <c r="S80" s="89">
        <f t="shared" si="70"/>
        <v>-264.51847999999882</v>
      </c>
    </row>
    <row r="81" spans="2:19" ht="17.100000000000001" customHeight="1" x14ac:dyDescent="0.25">
      <c r="B81" s="211" t="s">
        <v>265</v>
      </c>
      <c r="C81" s="212" t="s">
        <v>266</v>
      </c>
      <c r="D81" s="213">
        <v>3363.1108874999995</v>
      </c>
      <c r="E81" s="213"/>
      <c r="F81" s="213"/>
      <c r="G81" s="213">
        <v>11741.6</v>
      </c>
      <c r="H81" s="213"/>
      <c r="I81" s="213"/>
      <c r="J81" s="213">
        <v>12211.264000000001</v>
      </c>
      <c r="K81" s="213"/>
      <c r="L81" s="213"/>
      <c r="M81" s="213">
        <f t="shared" si="74"/>
        <v>12211.264000000001</v>
      </c>
      <c r="N81" s="88"/>
      <c r="O81" s="405">
        <v>7876.7000000000007</v>
      </c>
      <c r="P81" s="400">
        <v>4.3999999999999997E-2</v>
      </c>
      <c r="Q81">
        <f t="shared" si="75"/>
        <v>346.57480000000004</v>
      </c>
      <c r="R81" s="89">
        <f t="shared" si="69"/>
        <v>8223.2748000000011</v>
      </c>
      <c r="S81" s="89">
        <f t="shared" si="70"/>
        <v>-3987.9892</v>
      </c>
    </row>
    <row r="82" spans="2:19" ht="17.100000000000001" customHeight="1" x14ac:dyDescent="0.25">
      <c r="B82" s="211" t="s">
        <v>267</v>
      </c>
      <c r="C82" s="212" t="s">
        <v>268</v>
      </c>
      <c r="D82" s="213">
        <v>12744.952998749997</v>
      </c>
      <c r="E82" s="213"/>
      <c r="F82" s="213"/>
      <c r="G82" s="213">
        <v>13728</v>
      </c>
      <c r="H82" s="213"/>
      <c r="I82" s="213"/>
      <c r="J82" s="213">
        <v>14277.12</v>
      </c>
      <c r="K82" s="213">
        <v>8000</v>
      </c>
      <c r="L82" s="213"/>
      <c r="M82" s="213">
        <f t="shared" si="74"/>
        <v>22277.120000000003</v>
      </c>
      <c r="N82" s="88"/>
      <c r="O82" s="405">
        <v>20724.55</v>
      </c>
      <c r="P82" s="400">
        <v>4.3999999999999997E-2</v>
      </c>
      <c r="Q82">
        <f t="shared" si="75"/>
        <v>911.88019999999995</v>
      </c>
      <c r="R82" s="89">
        <f t="shared" si="69"/>
        <v>21636.430199999999</v>
      </c>
      <c r="S82" s="89">
        <f t="shared" si="70"/>
        <v>-640.68980000000374</v>
      </c>
    </row>
    <row r="83" spans="2:19" ht="17.100000000000001" customHeight="1" x14ac:dyDescent="0.25">
      <c r="B83" s="211"/>
      <c r="C83" s="212" t="s">
        <v>269</v>
      </c>
      <c r="D83" s="213">
        <v>1</v>
      </c>
      <c r="E83" s="213"/>
      <c r="F83" s="213"/>
      <c r="G83" s="213">
        <v>0</v>
      </c>
      <c r="H83" s="213"/>
      <c r="I83" s="213"/>
      <c r="J83" s="213">
        <v>0</v>
      </c>
      <c r="K83" s="213"/>
      <c r="L83" s="213"/>
      <c r="M83" s="213">
        <f t="shared" si="74"/>
        <v>0</v>
      </c>
      <c r="N83" s="88"/>
      <c r="O83" s="405">
        <v>0</v>
      </c>
      <c r="P83" s="400">
        <v>4.3999999999999997E-2</v>
      </c>
      <c r="Q83">
        <f t="shared" si="75"/>
        <v>0</v>
      </c>
      <c r="R83" s="89">
        <f t="shared" ref="R83" si="76">O83+Q83</f>
        <v>0</v>
      </c>
      <c r="S83" s="89">
        <f t="shared" ref="S83" si="77">R83-O83</f>
        <v>0</v>
      </c>
    </row>
    <row r="84" spans="2:19" ht="17.100000000000001" customHeight="1" x14ac:dyDescent="0.25">
      <c r="B84" s="318"/>
      <c r="C84" s="319" t="s">
        <v>270</v>
      </c>
      <c r="D84" s="320"/>
      <c r="E84" s="320"/>
      <c r="F84" s="320"/>
      <c r="G84" s="320">
        <f>G85</f>
        <v>71344</v>
      </c>
      <c r="H84" s="320">
        <f t="shared" ref="H84:M84" si="78">H85</f>
        <v>0</v>
      </c>
      <c r="I84" s="320">
        <f t="shared" si="78"/>
        <v>0</v>
      </c>
      <c r="J84" s="320">
        <f t="shared" si="78"/>
        <v>74197.760000000009</v>
      </c>
      <c r="K84" s="320">
        <f t="shared" si="78"/>
        <v>0</v>
      </c>
      <c r="L84" s="320">
        <f t="shared" si="78"/>
        <v>0</v>
      </c>
      <c r="M84" s="320">
        <f t="shared" si="78"/>
        <v>74197.760000000009</v>
      </c>
      <c r="N84" s="88"/>
      <c r="O84" s="404">
        <v>74931.460000000006</v>
      </c>
      <c r="P84" s="400"/>
    </row>
    <row r="85" spans="2:19" ht="17.100000000000001" customHeight="1" x14ac:dyDescent="0.25">
      <c r="B85" s="211" t="s">
        <v>271</v>
      </c>
      <c r="C85" s="212" t="s">
        <v>270</v>
      </c>
      <c r="D85" s="213">
        <v>339343.51247999992</v>
      </c>
      <c r="E85" s="213"/>
      <c r="F85" s="213"/>
      <c r="G85" s="213">
        <v>71344</v>
      </c>
      <c r="H85" s="213"/>
      <c r="I85" s="213"/>
      <c r="J85" s="213">
        <v>74197.760000000009</v>
      </c>
      <c r="K85" s="213"/>
      <c r="L85" s="213"/>
      <c r="M85" s="213">
        <f>J85+K85-L85</f>
        <v>74197.760000000009</v>
      </c>
      <c r="N85" s="88"/>
      <c r="O85" s="405">
        <v>74931.460000000006</v>
      </c>
      <c r="P85" s="400"/>
    </row>
    <row r="86" spans="2:19" ht="17.100000000000001" customHeight="1" x14ac:dyDescent="0.25">
      <c r="B86" s="318"/>
      <c r="C86" s="319" t="s">
        <v>272</v>
      </c>
      <c r="D86" s="320"/>
      <c r="E86" s="320"/>
      <c r="F86" s="320"/>
      <c r="G86" s="320"/>
      <c r="H86" s="320"/>
      <c r="I86" s="320"/>
      <c r="J86" s="320">
        <v>0</v>
      </c>
      <c r="K86" s="320">
        <v>0</v>
      </c>
      <c r="L86" s="320">
        <v>0</v>
      </c>
      <c r="M86" s="320">
        <v>0</v>
      </c>
      <c r="N86" s="88"/>
      <c r="O86" s="404"/>
      <c r="P86" s="400"/>
    </row>
    <row r="87" spans="2:19" ht="17.100000000000001" customHeight="1" x14ac:dyDescent="0.25">
      <c r="B87" s="211"/>
      <c r="C87" s="212" t="s">
        <v>272</v>
      </c>
      <c r="D87" s="213">
        <v>1</v>
      </c>
      <c r="E87" s="213"/>
      <c r="F87" s="213"/>
      <c r="G87" s="213">
        <v>0</v>
      </c>
      <c r="H87" s="213"/>
      <c r="I87" s="213"/>
      <c r="J87" s="213">
        <f>G87+H87-I87</f>
        <v>0</v>
      </c>
      <c r="K87" s="213"/>
      <c r="L87" s="213"/>
      <c r="M87" s="213">
        <f>J87+K87-L87</f>
        <v>0</v>
      </c>
      <c r="N87" s="88"/>
      <c r="O87" s="405">
        <v>0</v>
      </c>
      <c r="P87" s="400"/>
    </row>
    <row r="88" spans="2:19" ht="17.100000000000001" customHeight="1" x14ac:dyDescent="0.25">
      <c r="B88" s="318"/>
      <c r="C88" s="319" t="s">
        <v>273</v>
      </c>
      <c r="D88" s="320"/>
      <c r="E88" s="320"/>
      <c r="F88" s="320"/>
      <c r="G88" s="320"/>
      <c r="H88" s="320"/>
      <c r="I88" s="320"/>
      <c r="J88" s="320">
        <v>0</v>
      </c>
      <c r="K88" s="320">
        <v>0</v>
      </c>
      <c r="L88" s="320">
        <v>0</v>
      </c>
      <c r="M88" s="320">
        <v>0</v>
      </c>
      <c r="N88" s="88"/>
      <c r="O88" s="404"/>
      <c r="P88" s="400"/>
    </row>
    <row r="89" spans="2:19" ht="17.100000000000001" customHeight="1" x14ac:dyDescent="0.25">
      <c r="B89" s="211"/>
      <c r="C89" s="212" t="s">
        <v>273</v>
      </c>
      <c r="D89" s="213">
        <v>1</v>
      </c>
      <c r="E89" s="213"/>
      <c r="F89" s="213"/>
      <c r="G89" s="213">
        <v>0</v>
      </c>
      <c r="H89" s="213"/>
      <c r="I89" s="213"/>
      <c r="J89" s="213">
        <f>G89+H89-I89</f>
        <v>0</v>
      </c>
      <c r="K89" s="213"/>
      <c r="L89" s="213"/>
      <c r="M89" s="213">
        <f>J89+K89-L89</f>
        <v>0</v>
      </c>
      <c r="N89" s="88"/>
      <c r="O89" s="405">
        <v>0</v>
      </c>
      <c r="P89" s="400"/>
    </row>
    <row r="90" spans="2:19" ht="17.100000000000001" customHeight="1" x14ac:dyDescent="0.25">
      <c r="B90" s="321"/>
      <c r="C90" s="322" t="s">
        <v>274</v>
      </c>
      <c r="D90" s="323"/>
      <c r="E90" s="323"/>
      <c r="F90" s="323"/>
      <c r="G90" s="323">
        <f>G97+G102+G91</f>
        <v>50000</v>
      </c>
      <c r="H90" s="323">
        <f t="shared" ref="H90:I90" si="79">H97+H102+H91</f>
        <v>1794095.96</v>
      </c>
      <c r="I90" s="323">
        <f t="shared" si="79"/>
        <v>0</v>
      </c>
      <c r="J90" s="323">
        <f>J97+J102+J91</f>
        <v>52000</v>
      </c>
      <c r="K90" s="323">
        <f>K97+K102+K91</f>
        <v>2850406.23</v>
      </c>
      <c r="L90" s="323">
        <f>L97+L102+L91</f>
        <v>0</v>
      </c>
      <c r="M90" s="323">
        <f>M97+M102+M91</f>
        <v>2902406.23</v>
      </c>
      <c r="N90" s="88"/>
      <c r="O90" s="403">
        <v>1794095.96</v>
      </c>
      <c r="P90" s="400"/>
    </row>
    <row r="91" spans="2:19" ht="17.100000000000001" customHeight="1" x14ac:dyDescent="0.25">
      <c r="B91" s="318"/>
      <c r="C91" s="319" t="s">
        <v>275</v>
      </c>
      <c r="D91" s="320"/>
      <c r="E91" s="320"/>
      <c r="F91" s="320"/>
      <c r="G91" s="320">
        <f>SUM(G92:G96)</f>
        <v>0</v>
      </c>
      <c r="H91" s="320">
        <f t="shared" ref="H91:J91" si="80">SUM(H92:H96)</f>
        <v>1794095.96</v>
      </c>
      <c r="I91" s="320">
        <f t="shared" si="80"/>
        <v>0</v>
      </c>
      <c r="J91" s="320">
        <f t="shared" si="80"/>
        <v>0</v>
      </c>
      <c r="K91" s="320">
        <f t="shared" ref="K91:M91" si="81">SUM(K92:K96)</f>
        <v>2850406.23</v>
      </c>
      <c r="L91" s="320">
        <f t="shared" si="81"/>
        <v>0</v>
      </c>
      <c r="M91" s="320">
        <f t="shared" si="81"/>
        <v>2850406.23</v>
      </c>
      <c r="N91" s="88"/>
      <c r="O91" s="404">
        <v>1794095.96</v>
      </c>
      <c r="P91" s="400"/>
    </row>
    <row r="92" spans="2:19" ht="17.100000000000001" customHeight="1" x14ac:dyDescent="0.25">
      <c r="B92" s="399" t="s">
        <v>575</v>
      </c>
      <c r="C92" s="212" t="s">
        <v>560</v>
      </c>
      <c r="D92" s="213">
        <v>1</v>
      </c>
      <c r="E92" s="213">
        <v>2962916.14</v>
      </c>
      <c r="F92" s="213"/>
      <c r="G92" s="213">
        <v>0</v>
      </c>
      <c r="H92" s="213">
        <v>1794095.96</v>
      </c>
      <c r="I92" s="213"/>
      <c r="J92" s="213">
        <v>0</v>
      </c>
      <c r="K92" s="213">
        <v>2850406.23</v>
      </c>
      <c r="L92" s="213"/>
      <c r="M92" s="213">
        <f>J92+K92-L92</f>
        <v>2850406.23</v>
      </c>
      <c r="N92" s="88"/>
      <c r="O92" s="405">
        <v>1794095.96</v>
      </c>
      <c r="P92" s="400"/>
    </row>
    <row r="93" spans="2:19" ht="17.100000000000001" customHeight="1" x14ac:dyDescent="0.25">
      <c r="B93" s="211"/>
      <c r="C93" s="212" t="s">
        <v>276</v>
      </c>
      <c r="D93" s="213">
        <v>1</v>
      </c>
      <c r="E93" s="213"/>
      <c r="F93" s="213"/>
      <c r="G93" s="213">
        <v>0</v>
      </c>
      <c r="H93" s="213"/>
      <c r="I93" s="213"/>
      <c r="J93" s="213">
        <f t="shared" ref="J93:M96" si="82">G93+H93-I93</f>
        <v>0</v>
      </c>
      <c r="K93" s="213"/>
      <c r="L93" s="213"/>
      <c r="M93" s="213">
        <f t="shared" si="82"/>
        <v>0</v>
      </c>
      <c r="N93" s="88"/>
      <c r="O93" s="405">
        <v>0</v>
      </c>
      <c r="P93" s="400"/>
    </row>
    <row r="94" spans="2:19" ht="17.100000000000001" customHeight="1" x14ac:dyDescent="0.25">
      <c r="B94" s="211"/>
      <c r="C94" s="212" t="s">
        <v>277</v>
      </c>
      <c r="D94" s="213">
        <v>1</v>
      </c>
      <c r="E94" s="213"/>
      <c r="F94" s="213"/>
      <c r="G94" s="213">
        <v>0</v>
      </c>
      <c r="H94" s="213"/>
      <c r="I94" s="213"/>
      <c r="J94" s="213">
        <f t="shared" si="82"/>
        <v>0</v>
      </c>
      <c r="K94" s="213"/>
      <c r="L94" s="213"/>
      <c r="M94" s="213">
        <f t="shared" si="82"/>
        <v>0</v>
      </c>
      <c r="N94" s="88"/>
      <c r="O94" s="405">
        <v>0</v>
      </c>
      <c r="P94" s="400"/>
    </row>
    <row r="95" spans="2:19" ht="17.100000000000001" customHeight="1" x14ac:dyDescent="0.25">
      <c r="B95" s="211"/>
      <c r="C95" s="212" t="s">
        <v>278</v>
      </c>
      <c r="D95" s="213">
        <v>1</v>
      </c>
      <c r="E95" s="213"/>
      <c r="F95" s="213"/>
      <c r="G95" s="213">
        <v>0</v>
      </c>
      <c r="H95" s="213"/>
      <c r="I95" s="213"/>
      <c r="J95" s="213">
        <f t="shared" si="82"/>
        <v>0</v>
      </c>
      <c r="K95" s="213"/>
      <c r="L95" s="213"/>
      <c r="M95" s="213">
        <f t="shared" si="82"/>
        <v>0</v>
      </c>
      <c r="N95" s="88"/>
      <c r="O95" s="405">
        <v>0</v>
      </c>
      <c r="P95" s="400"/>
    </row>
    <row r="96" spans="2:19" ht="17.100000000000001" customHeight="1" x14ac:dyDescent="0.25">
      <c r="B96" s="211"/>
      <c r="C96" s="212" t="s">
        <v>279</v>
      </c>
      <c r="D96" s="213">
        <v>1</v>
      </c>
      <c r="E96" s="213"/>
      <c r="F96" s="213"/>
      <c r="G96" s="213">
        <v>0</v>
      </c>
      <c r="H96" s="213"/>
      <c r="I96" s="213"/>
      <c r="J96" s="213">
        <f t="shared" si="82"/>
        <v>0</v>
      </c>
      <c r="K96" s="213"/>
      <c r="L96" s="213"/>
      <c r="M96" s="213">
        <f t="shared" si="82"/>
        <v>0</v>
      </c>
      <c r="N96" s="88"/>
      <c r="O96" s="405">
        <v>0</v>
      </c>
      <c r="P96" s="400"/>
    </row>
    <row r="97" spans="2:16" ht="17.100000000000001" customHeight="1" x14ac:dyDescent="0.25">
      <c r="B97" s="318"/>
      <c r="C97" s="319" t="s">
        <v>280</v>
      </c>
      <c r="D97" s="320"/>
      <c r="E97" s="320"/>
      <c r="F97" s="320"/>
      <c r="G97" s="320">
        <f>SUM(G98:G101)</f>
        <v>50000</v>
      </c>
      <c r="H97" s="320">
        <f t="shared" ref="H97:J97" si="83">SUM(H98:H101)</f>
        <v>0</v>
      </c>
      <c r="I97" s="320">
        <f t="shared" si="83"/>
        <v>0</v>
      </c>
      <c r="J97" s="320">
        <f t="shared" si="83"/>
        <v>52000</v>
      </c>
      <c r="K97" s="320">
        <f t="shared" ref="K97:M97" si="84">SUM(K98:K101)</f>
        <v>0</v>
      </c>
      <c r="L97" s="320">
        <f t="shared" si="84"/>
        <v>0</v>
      </c>
      <c r="M97" s="320">
        <f t="shared" si="84"/>
        <v>52000</v>
      </c>
      <c r="N97" s="88"/>
      <c r="O97" s="404">
        <v>0</v>
      </c>
      <c r="P97" s="400"/>
    </row>
    <row r="98" spans="2:16" ht="17.100000000000001" customHeight="1" x14ac:dyDescent="0.25">
      <c r="B98" s="211"/>
      <c r="C98" s="212" t="s">
        <v>281</v>
      </c>
      <c r="D98" s="213">
        <v>1</v>
      </c>
      <c r="E98" s="213"/>
      <c r="F98" s="213"/>
      <c r="G98" s="213">
        <v>0</v>
      </c>
      <c r="H98" s="213"/>
      <c r="I98" s="213"/>
      <c r="J98" s="213">
        <f>G98+H98-I98</f>
        <v>0</v>
      </c>
      <c r="K98" s="213"/>
      <c r="L98" s="213"/>
      <c r="M98" s="213">
        <f t="shared" ref="M98:M101" si="85">J98+K98-L98</f>
        <v>0</v>
      </c>
      <c r="N98" s="88"/>
      <c r="O98" s="405">
        <v>0</v>
      </c>
      <c r="P98" s="400"/>
    </row>
    <row r="99" spans="2:16" ht="17.100000000000001" customHeight="1" x14ac:dyDescent="0.25">
      <c r="B99" s="211"/>
      <c r="C99" s="212" t="s">
        <v>282</v>
      </c>
      <c r="D99" s="213">
        <v>1</v>
      </c>
      <c r="E99" s="213"/>
      <c r="F99" s="213"/>
      <c r="G99" s="213">
        <v>0</v>
      </c>
      <c r="H99" s="213"/>
      <c r="I99" s="213"/>
      <c r="J99" s="213">
        <f t="shared" ref="J99:J101" si="86">G99+H99-I99</f>
        <v>0</v>
      </c>
      <c r="K99" s="213"/>
      <c r="L99" s="213"/>
      <c r="M99" s="213">
        <f t="shared" si="85"/>
        <v>0</v>
      </c>
      <c r="N99" s="88"/>
      <c r="O99" s="405">
        <v>0</v>
      </c>
      <c r="P99" s="400"/>
    </row>
    <row r="100" spans="2:16" ht="17.100000000000001" customHeight="1" x14ac:dyDescent="0.25">
      <c r="B100" s="211" t="s">
        <v>543</v>
      </c>
      <c r="C100" s="212" t="s">
        <v>291</v>
      </c>
      <c r="D100" s="213">
        <v>18558.429749999999</v>
      </c>
      <c r="E100" s="213"/>
      <c r="F100" s="213"/>
      <c r="G100" s="213">
        <v>50000</v>
      </c>
      <c r="H100" s="213"/>
      <c r="I100" s="213"/>
      <c r="J100" s="213">
        <v>52000</v>
      </c>
      <c r="K100" s="213"/>
      <c r="L100" s="213"/>
      <c r="M100" s="213">
        <f t="shared" si="85"/>
        <v>52000</v>
      </c>
      <c r="N100" s="88"/>
      <c r="O100" s="405">
        <v>0</v>
      </c>
      <c r="P100" s="400"/>
    </row>
    <row r="101" spans="2:16" ht="17.100000000000001" customHeight="1" x14ac:dyDescent="0.25">
      <c r="B101" s="211"/>
      <c r="C101" s="212" t="s">
        <v>283</v>
      </c>
      <c r="D101" s="213">
        <v>1</v>
      </c>
      <c r="E101" s="213"/>
      <c r="F101" s="213"/>
      <c r="G101" s="213">
        <v>0</v>
      </c>
      <c r="H101" s="213"/>
      <c r="I101" s="213"/>
      <c r="J101" s="213">
        <f t="shared" si="86"/>
        <v>0</v>
      </c>
      <c r="K101" s="213"/>
      <c r="L101" s="213"/>
      <c r="M101" s="213">
        <f t="shared" si="85"/>
        <v>0</v>
      </c>
      <c r="N101" s="88"/>
      <c r="O101" s="405">
        <v>0</v>
      </c>
      <c r="P101" s="400"/>
    </row>
    <row r="102" spans="2:16" ht="17.100000000000001" customHeight="1" x14ac:dyDescent="0.25">
      <c r="B102" s="318"/>
      <c r="C102" s="319" t="s">
        <v>284</v>
      </c>
      <c r="D102" s="320"/>
      <c r="E102" s="320"/>
      <c r="F102" s="320"/>
      <c r="G102" s="320">
        <f>SUM(G103:G104)</f>
        <v>0</v>
      </c>
      <c r="H102" s="320"/>
      <c r="I102" s="320"/>
      <c r="J102" s="320">
        <v>0</v>
      </c>
      <c r="K102" s="320">
        <v>0</v>
      </c>
      <c r="L102" s="320">
        <v>0</v>
      </c>
      <c r="M102" s="320">
        <v>0</v>
      </c>
      <c r="N102" s="88"/>
      <c r="O102" s="404"/>
      <c r="P102" s="400"/>
    </row>
    <row r="103" spans="2:16" ht="17.100000000000001" customHeight="1" x14ac:dyDescent="0.25">
      <c r="B103" s="211"/>
      <c r="C103" s="212" t="s">
        <v>285</v>
      </c>
      <c r="D103" s="213">
        <v>1</v>
      </c>
      <c r="E103" s="213"/>
      <c r="F103" s="213"/>
      <c r="G103" s="213">
        <v>0</v>
      </c>
      <c r="H103" s="213"/>
      <c r="I103" s="213"/>
      <c r="J103" s="213">
        <f>G103+H103-I103</f>
        <v>0</v>
      </c>
      <c r="K103" s="213"/>
      <c r="L103" s="213"/>
      <c r="M103" s="213">
        <f>J103+K103-L103</f>
        <v>0</v>
      </c>
      <c r="N103" s="88"/>
      <c r="O103" s="405">
        <v>0</v>
      </c>
      <c r="P103" s="400"/>
    </row>
    <row r="104" spans="2:16" ht="17.100000000000001" customHeight="1" x14ac:dyDescent="0.25">
      <c r="B104" s="211"/>
      <c r="C104" s="212" t="s">
        <v>286</v>
      </c>
      <c r="D104" s="213">
        <v>1</v>
      </c>
      <c r="E104" s="213"/>
      <c r="F104" s="213"/>
      <c r="G104" s="213">
        <v>0</v>
      </c>
      <c r="H104" s="213"/>
      <c r="I104" s="213"/>
      <c r="J104" s="213">
        <f>G104+H104-I104</f>
        <v>0</v>
      </c>
      <c r="K104" s="213"/>
      <c r="L104" s="213"/>
      <c r="M104" s="213">
        <f>J104+K104-L104</f>
        <v>0</v>
      </c>
      <c r="N104" s="88"/>
      <c r="O104" s="405">
        <v>0</v>
      </c>
      <c r="P104" s="400"/>
    </row>
    <row r="105" spans="2:16" ht="17.100000000000001" customHeight="1" x14ac:dyDescent="0.25">
      <c r="B105" s="321"/>
      <c r="C105" s="322" t="s">
        <v>287</v>
      </c>
      <c r="D105" s="323"/>
      <c r="E105" s="323"/>
      <c r="F105" s="323"/>
      <c r="G105" s="323">
        <f>G106+G108</f>
        <v>896611.6</v>
      </c>
      <c r="H105" s="323">
        <f t="shared" ref="H105:I105" si="87">H106+H108</f>
        <v>0</v>
      </c>
      <c r="I105" s="323">
        <f t="shared" si="87"/>
        <v>0</v>
      </c>
      <c r="J105" s="323">
        <f>J106+J108</f>
        <v>932476.06400000001</v>
      </c>
      <c r="K105" s="323">
        <f>K106+K108</f>
        <v>0</v>
      </c>
      <c r="L105" s="323">
        <f>L106+L108</f>
        <v>0</v>
      </c>
      <c r="M105" s="323">
        <f>M106+M108</f>
        <v>932476.06400000001</v>
      </c>
      <c r="N105" s="88"/>
      <c r="O105" s="403">
        <v>72329</v>
      </c>
      <c r="P105" s="400"/>
    </row>
    <row r="106" spans="2:16" ht="17.100000000000001" customHeight="1" x14ac:dyDescent="0.25">
      <c r="B106" s="318"/>
      <c r="C106" s="319" t="s">
        <v>288</v>
      </c>
      <c r="D106" s="320"/>
      <c r="E106" s="320"/>
      <c r="F106" s="320"/>
      <c r="G106" s="320">
        <f>G107</f>
        <v>80770</v>
      </c>
      <c r="H106" s="320">
        <f t="shared" ref="H106:M106" si="88">H107</f>
        <v>0</v>
      </c>
      <c r="I106" s="320">
        <f t="shared" si="88"/>
        <v>0</v>
      </c>
      <c r="J106" s="320">
        <f t="shared" si="88"/>
        <v>84000.8</v>
      </c>
      <c r="K106" s="320">
        <f t="shared" si="88"/>
        <v>0</v>
      </c>
      <c r="L106" s="320">
        <f t="shared" si="88"/>
        <v>0</v>
      </c>
      <c r="M106" s="320">
        <f t="shared" si="88"/>
        <v>84000.8</v>
      </c>
      <c r="N106" s="88"/>
      <c r="O106" s="404">
        <v>72329</v>
      </c>
      <c r="P106" s="400"/>
    </row>
    <row r="107" spans="2:16" ht="17.100000000000001" customHeight="1" x14ac:dyDescent="0.25">
      <c r="B107" s="211" t="s">
        <v>289</v>
      </c>
      <c r="C107" s="212" t="s">
        <v>290</v>
      </c>
      <c r="D107" s="213">
        <v>11869.869296249999</v>
      </c>
      <c r="E107" s="213"/>
      <c r="F107" s="213"/>
      <c r="G107" s="213">
        <v>80770</v>
      </c>
      <c r="H107" s="213"/>
      <c r="I107" s="213"/>
      <c r="J107" s="213">
        <v>84000.8</v>
      </c>
      <c r="K107" s="213"/>
      <c r="L107" s="213"/>
      <c r="M107" s="213">
        <f>J107+K107-L107</f>
        <v>84000.8</v>
      </c>
      <c r="N107" s="88"/>
      <c r="O107" s="405">
        <v>72329</v>
      </c>
      <c r="P107" s="400"/>
    </row>
    <row r="108" spans="2:16" ht="17.100000000000001" customHeight="1" x14ac:dyDescent="0.25">
      <c r="B108" s="318"/>
      <c r="C108" s="319" t="s">
        <v>291</v>
      </c>
      <c r="D108" s="320"/>
      <c r="E108" s="320"/>
      <c r="F108" s="320"/>
      <c r="G108" s="320">
        <f>SUM(G109:G112)</f>
        <v>815841.6</v>
      </c>
      <c r="H108" s="320">
        <f t="shared" ref="H108:J108" si="89">SUM(H109:H112)</f>
        <v>0</v>
      </c>
      <c r="I108" s="320">
        <f t="shared" si="89"/>
        <v>0</v>
      </c>
      <c r="J108" s="320">
        <f t="shared" si="89"/>
        <v>848475.26399999997</v>
      </c>
      <c r="K108" s="320">
        <f t="shared" ref="K108:M108" si="90">SUM(K109:K112)</f>
        <v>0</v>
      </c>
      <c r="L108" s="320">
        <f t="shared" si="90"/>
        <v>0</v>
      </c>
      <c r="M108" s="320">
        <f t="shared" si="90"/>
        <v>848475.26399999997</v>
      </c>
      <c r="N108" s="88"/>
      <c r="O108" s="404">
        <v>0</v>
      </c>
      <c r="P108" s="400"/>
    </row>
    <row r="109" spans="2:16" ht="17.100000000000001" customHeight="1" x14ac:dyDescent="0.25">
      <c r="B109" s="211" t="s">
        <v>292</v>
      </c>
      <c r="C109" s="212" t="s">
        <v>293</v>
      </c>
      <c r="D109" s="213">
        <v>224957.24999999997</v>
      </c>
      <c r="E109" s="213"/>
      <c r="F109" s="213"/>
      <c r="G109" s="213">
        <v>50000</v>
      </c>
      <c r="H109" s="213"/>
      <c r="I109" s="213"/>
      <c r="J109" s="213">
        <v>52000</v>
      </c>
      <c r="K109" s="213"/>
      <c r="L109" s="213"/>
      <c r="M109" s="213">
        <f t="shared" ref="M109:M111" si="91">J109+K109-L109</f>
        <v>52000</v>
      </c>
      <c r="N109" s="88"/>
      <c r="O109" s="405">
        <v>0</v>
      </c>
      <c r="P109" s="400"/>
    </row>
    <row r="110" spans="2:16" ht="17.100000000000001" customHeight="1" x14ac:dyDescent="0.25">
      <c r="B110" s="211"/>
      <c r="C110" s="212" t="s">
        <v>294</v>
      </c>
      <c r="D110" s="213">
        <v>1</v>
      </c>
      <c r="E110" s="213"/>
      <c r="F110" s="213"/>
      <c r="G110" s="213">
        <v>0</v>
      </c>
      <c r="H110" s="213"/>
      <c r="I110" s="213"/>
      <c r="J110" s="213">
        <v>0</v>
      </c>
      <c r="K110" s="213"/>
      <c r="L110" s="213"/>
      <c r="M110" s="213">
        <f t="shared" si="91"/>
        <v>0</v>
      </c>
      <c r="N110" s="88"/>
      <c r="O110" s="405">
        <v>0</v>
      </c>
      <c r="P110" s="400"/>
    </row>
    <row r="111" spans="2:16" ht="17.100000000000001" customHeight="1" x14ac:dyDescent="0.25">
      <c r="B111" s="211" t="s">
        <v>295</v>
      </c>
      <c r="C111" s="212" t="s">
        <v>296</v>
      </c>
      <c r="D111" s="213">
        <v>1262500</v>
      </c>
      <c r="E111" s="213"/>
      <c r="F111" s="213"/>
      <c r="G111" s="213">
        <v>765841.6</v>
      </c>
      <c r="H111" s="213"/>
      <c r="I111" s="213"/>
      <c r="J111" s="213">
        <v>796475.26399999997</v>
      </c>
      <c r="K111" s="213"/>
      <c r="L111" s="213"/>
      <c r="M111" s="213">
        <f t="shared" si="91"/>
        <v>796475.26399999997</v>
      </c>
      <c r="N111" s="88"/>
      <c r="O111" s="405">
        <v>0</v>
      </c>
      <c r="P111" s="400"/>
    </row>
    <row r="112" spans="2:16" ht="17.100000000000001" customHeight="1" x14ac:dyDescent="0.25">
      <c r="B112" s="211"/>
      <c r="C112" s="212" t="s">
        <v>297</v>
      </c>
      <c r="D112" s="213">
        <v>1</v>
      </c>
      <c r="E112" s="213"/>
      <c r="F112" s="213"/>
      <c r="G112" s="213">
        <v>0</v>
      </c>
      <c r="H112" s="213"/>
      <c r="I112" s="213"/>
      <c r="J112" s="213">
        <v>0</v>
      </c>
      <c r="K112" s="213"/>
      <c r="L112" s="213"/>
      <c r="M112" s="213">
        <v>0</v>
      </c>
      <c r="N112" s="88"/>
      <c r="O112" s="405">
        <v>0</v>
      </c>
      <c r="P112" s="400"/>
    </row>
    <row r="113" spans="2:17" ht="17.100000000000001" customHeight="1" x14ac:dyDescent="0.25">
      <c r="B113" s="321"/>
      <c r="C113" s="322" t="s">
        <v>298</v>
      </c>
      <c r="D113" s="323"/>
      <c r="E113" s="323"/>
      <c r="F113" s="323"/>
      <c r="G113" s="323">
        <f t="shared" ref="G113:M113" si="92">SUM(G114:G118)</f>
        <v>10000</v>
      </c>
      <c r="H113" s="323">
        <f t="shared" si="92"/>
        <v>0</v>
      </c>
      <c r="I113" s="323">
        <f t="shared" si="92"/>
        <v>0</v>
      </c>
      <c r="J113" s="323">
        <f t="shared" si="92"/>
        <v>10400</v>
      </c>
      <c r="K113" s="323">
        <f t="shared" si="92"/>
        <v>0</v>
      </c>
      <c r="L113" s="323">
        <f t="shared" si="92"/>
        <v>0</v>
      </c>
      <c r="M113" s="323">
        <f t="shared" si="92"/>
        <v>10400</v>
      </c>
      <c r="N113" s="88"/>
      <c r="O113" s="403">
        <v>0</v>
      </c>
      <c r="P113" s="400"/>
    </row>
    <row r="114" spans="2:17" ht="17.100000000000001" customHeight="1" x14ac:dyDescent="0.25">
      <c r="B114" s="211" t="s">
        <v>299</v>
      </c>
      <c r="C114" s="212" t="s">
        <v>300</v>
      </c>
      <c r="D114" s="213">
        <v>49982.604761249997</v>
      </c>
      <c r="E114" s="213"/>
      <c r="F114" s="213"/>
      <c r="G114" s="213">
        <v>10000</v>
      </c>
      <c r="H114" s="213"/>
      <c r="I114" s="213"/>
      <c r="J114" s="213">
        <v>10400</v>
      </c>
      <c r="K114" s="213"/>
      <c r="L114" s="213"/>
      <c r="M114" s="213">
        <v>10400</v>
      </c>
      <c r="N114" s="88"/>
      <c r="O114" s="405">
        <v>0</v>
      </c>
      <c r="P114" s="400"/>
    </row>
    <row r="115" spans="2:17" ht="17.100000000000001" customHeight="1" x14ac:dyDescent="0.25">
      <c r="B115" s="211"/>
      <c r="C115" s="212" t="s">
        <v>301</v>
      </c>
      <c r="D115" s="213">
        <v>1</v>
      </c>
      <c r="E115" s="213"/>
      <c r="F115" s="213"/>
      <c r="G115" s="213">
        <v>0</v>
      </c>
      <c r="H115" s="213"/>
      <c r="I115" s="213"/>
      <c r="J115" s="213">
        <f t="shared" ref="J115:M118" si="93">G115+H115-I115</f>
        <v>0</v>
      </c>
      <c r="K115" s="213"/>
      <c r="L115" s="213"/>
      <c r="M115" s="213">
        <f t="shared" si="93"/>
        <v>0</v>
      </c>
      <c r="N115" s="88"/>
      <c r="O115" s="405">
        <v>0</v>
      </c>
      <c r="P115" s="400"/>
    </row>
    <row r="116" spans="2:17" ht="17.100000000000001" customHeight="1" x14ac:dyDescent="0.25">
      <c r="B116" s="211"/>
      <c r="C116" s="212" t="s">
        <v>302</v>
      </c>
      <c r="D116" s="213">
        <v>1</v>
      </c>
      <c r="E116" s="213"/>
      <c r="F116" s="213"/>
      <c r="G116" s="213">
        <v>0</v>
      </c>
      <c r="H116" s="213"/>
      <c r="I116" s="213"/>
      <c r="J116" s="213">
        <f t="shared" si="93"/>
        <v>0</v>
      </c>
      <c r="K116" s="213"/>
      <c r="L116" s="213"/>
      <c r="M116" s="213">
        <f t="shared" si="93"/>
        <v>0</v>
      </c>
      <c r="N116" s="88"/>
      <c r="O116" s="405">
        <v>0</v>
      </c>
      <c r="P116" s="400"/>
    </row>
    <row r="117" spans="2:17" ht="17.100000000000001" customHeight="1" x14ac:dyDescent="0.25">
      <c r="B117" s="211"/>
      <c r="C117" s="212" t="s">
        <v>303</v>
      </c>
      <c r="D117" s="213">
        <v>1</v>
      </c>
      <c r="E117" s="213"/>
      <c r="F117" s="213"/>
      <c r="G117" s="213">
        <v>0</v>
      </c>
      <c r="H117" s="213"/>
      <c r="I117" s="213"/>
      <c r="J117" s="213">
        <f t="shared" si="93"/>
        <v>0</v>
      </c>
      <c r="K117" s="213"/>
      <c r="L117" s="213"/>
      <c r="M117" s="213">
        <f t="shared" si="93"/>
        <v>0</v>
      </c>
      <c r="N117" s="88"/>
      <c r="O117" s="405">
        <v>0</v>
      </c>
      <c r="P117" s="400"/>
    </row>
    <row r="118" spans="2:17" ht="17.100000000000001" customHeight="1" x14ac:dyDescent="0.25">
      <c r="B118" s="211"/>
      <c r="C118" s="212" t="s">
        <v>304</v>
      </c>
      <c r="D118" s="213">
        <v>1</v>
      </c>
      <c r="E118" s="213"/>
      <c r="F118" s="213"/>
      <c r="G118" s="213">
        <v>0</v>
      </c>
      <c r="H118" s="213"/>
      <c r="I118" s="213"/>
      <c r="J118" s="213">
        <f t="shared" si="93"/>
        <v>0</v>
      </c>
      <c r="K118" s="213"/>
      <c r="L118" s="213"/>
      <c r="M118" s="213">
        <f t="shared" si="93"/>
        <v>0</v>
      </c>
      <c r="N118" s="88"/>
      <c r="O118" s="405">
        <v>0</v>
      </c>
      <c r="P118" s="400"/>
    </row>
    <row r="119" spans="2:17" ht="15.75" x14ac:dyDescent="0.25">
      <c r="B119" s="214"/>
      <c r="C119" s="215"/>
    </row>
    <row r="120" spans="2:17" ht="16.5" thickBot="1" x14ac:dyDescent="0.3">
      <c r="B120" s="87"/>
      <c r="C120" s="87"/>
    </row>
    <row r="121" spans="2:17" ht="16.5" thickBot="1" x14ac:dyDescent="0.3">
      <c r="B121" s="87"/>
      <c r="C121" s="311" t="s">
        <v>305</v>
      </c>
      <c r="D121" s="312">
        <f>SUM(D9:D120)</f>
        <v>19729060.967595685</v>
      </c>
      <c r="E121" s="312">
        <f>SUM(E9:E120)</f>
        <v>2962916.14</v>
      </c>
      <c r="F121" s="312">
        <f>SUM(F9:F120)</f>
        <v>0</v>
      </c>
      <c r="G121" s="312">
        <f>G71+G7</f>
        <v>21518856.6624</v>
      </c>
      <c r="H121" s="312">
        <f t="shared" ref="H121:I121" si="94">H71+H7</f>
        <v>1813095.96</v>
      </c>
      <c r="I121" s="312">
        <f t="shared" si="94"/>
        <v>0</v>
      </c>
      <c r="J121" s="312">
        <f>J71+J7</f>
        <v>22399370.928895995</v>
      </c>
      <c r="K121" s="312">
        <f>K71+K7</f>
        <v>7314816.2588400003</v>
      </c>
      <c r="L121" s="312">
        <f>L71+L7</f>
        <v>118285.056</v>
      </c>
      <c r="M121" s="407">
        <f>M71+M7</f>
        <v>29595902.131735995</v>
      </c>
      <c r="N121" s="328"/>
      <c r="O121" s="312">
        <v>26968664.392399993</v>
      </c>
      <c r="Q121" s="89">
        <f>J121+K121-L121</f>
        <v>29595902.131735995</v>
      </c>
    </row>
    <row r="122" spans="2:17" ht="15.75" x14ac:dyDescent="0.25">
      <c r="B122" s="87"/>
      <c r="C122" s="327"/>
      <c r="D122" s="328"/>
      <c r="E122" s="328"/>
      <c r="F122" s="328"/>
      <c r="G122" s="328"/>
    </row>
    <row r="123" spans="2:17" ht="15.75" x14ac:dyDescent="0.25">
      <c r="B123" s="87"/>
      <c r="C123" s="327"/>
      <c r="D123" s="328"/>
      <c r="E123" s="328"/>
      <c r="F123" s="328"/>
      <c r="G123" s="328"/>
      <c r="I123" s="89"/>
    </row>
    <row r="124" spans="2:17" x14ac:dyDescent="0.25">
      <c r="K124">
        <v>8285.0560000000005</v>
      </c>
      <c r="L124">
        <v>8285.0560000000005</v>
      </c>
      <c r="M124" s="89">
        <f>L121-L124</f>
        <v>110000</v>
      </c>
    </row>
    <row r="125" spans="2:17" x14ac:dyDescent="0.25">
      <c r="M125" s="89">
        <f>K121-K92-K124</f>
        <v>4456124.9728399999</v>
      </c>
      <c r="O125" s="89">
        <f>O121-O92</f>
        <v>25174568.432399992</v>
      </c>
    </row>
    <row r="126" spans="2:17" x14ac:dyDescent="0.25">
      <c r="M126" s="89"/>
    </row>
    <row r="127" spans="2:17" x14ac:dyDescent="0.25">
      <c r="O127">
        <f>O125*1.04</f>
        <v>26181551.169695992</v>
      </c>
    </row>
  </sheetData>
  <mergeCells count="1">
    <mergeCell ref="B1:M2"/>
  </mergeCells>
  <pageMargins left="0.23622047244094491" right="0.23622047244094491" top="0.74803149606299213" bottom="0.78740157480314965" header="0.31496062992125984" footer="0.31496062992125984"/>
  <pageSetup paperSize="5" scale="36" fitToHeight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2:L41"/>
  <sheetViews>
    <sheetView topLeftCell="A25" workbookViewId="0">
      <selection sqref="A1:H59"/>
    </sheetView>
  </sheetViews>
  <sheetFormatPr baseColWidth="10" defaultRowHeight="15" x14ac:dyDescent="0.25"/>
  <cols>
    <col min="3" max="3" width="43.7109375" customWidth="1"/>
    <col min="4" max="4" width="12.5703125" bestFit="1" customWidth="1"/>
    <col min="5" max="5" width="11.5703125" bestFit="1" customWidth="1"/>
    <col min="6" max="7" width="12.5703125" bestFit="1" customWidth="1"/>
  </cols>
  <sheetData>
    <row r="2" spans="2:12" ht="15.75" x14ac:dyDescent="0.25">
      <c r="B2" s="409" t="s">
        <v>0</v>
      </c>
      <c r="C2" s="409"/>
      <c r="D2" s="409"/>
      <c r="E2" s="409"/>
    </row>
    <row r="3" spans="2:12" ht="37.5" customHeight="1" x14ac:dyDescent="0.3">
      <c r="B3" s="410" t="s">
        <v>562</v>
      </c>
      <c r="C3" s="410"/>
      <c r="D3" s="410"/>
      <c r="E3" s="410"/>
    </row>
    <row r="4" spans="2:12" ht="19.5" thickBot="1" x14ac:dyDescent="0.35">
      <c r="B4" s="411" t="s">
        <v>1</v>
      </c>
      <c r="C4" s="411"/>
      <c r="D4" s="411"/>
      <c r="E4" s="411"/>
    </row>
    <row r="5" spans="2:12" ht="26.25" thickBot="1" x14ac:dyDescent="0.3">
      <c r="B5" s="1"/>
      <c r="C5" s="1"/>
      <c r="D5" s="2" t="s">
        <v>2</v>
      </c>
      <c r="E5" s="2" t="s">
        <v>3</v>
      </c>
      <c r="F5" s="306"/>
    </row>
    <row r="6" spans="2:12" x14ac:dyDescent="0.25">
      <c r="B6" s="412"/>
      <c r="C6" s="413"/>
      <c r="D6" s="413"/>
      <c r="E6" s="414"/>
    </row>
    <row r="7" spans="2:12" x14ac:dyDescent="0.25">
      <c r="B7" s="366" t="s">
        <v>4</v>
      </c>
      <c r="C7" s="150" t="s">
        <v>469</v>
      </c>
      <c r="D7" s="392">
        <v>29530.717633777651</v>
      </c>
      <c r="E7" s="367">
        <f>D7*0.1</f>
        <v>2953.0717633777654</v>
      </c>
      <c r="F7" s="99"/>
      <c r="G7" s="99"/>
    </row>
    <row r="8" spans="2:12" x14ac:dyDescent="0.25">
      <c r="B8" s="368"/>
      <c r="C8" s="148"/>
      <c r="D8" s="393"/>
      <c r="E8" s="369"/>
      <c r="F8" s="99"/>
      <c r="G8" s="99"/>
    </row>
    <row r="9" spans="2:12" x14ac:dyDescent="0.25">
      <c r="B9" s="370" t="s">
        <v>5</v>
      </c>
      <c r="C9" s="296" t="s">
        <v>459</v>
      </c>
      <c r="D9" s="394">
        <v>20880.029957787003</v>
      </c>
      <c r="E9" s="367">
        <f t="shared" ref="E9:E40" si="0">D9*0.1</f>
        <v>2088.0029957787006</v>
      </c>
      <c r="F9" s="99"/>
      <c r="G9" s="99"/>
      <c r="H9" s="99"/>
    </row>
    <row r="10" spans="2:12" x14ac:dyDescent="0.25">
      <c r="B10" s="371"/>
      <c r="C10" s="297" t="s">
        <v>460</v>
      </c>
      <c r="D10" s="395">
        <v>20880.029957787003</v>
      </c>
      <c r="E10" s="372">
        <f t="shared" si="0"/>
        <v>2088.0029957787006</v>
      </c>
      <c r="F10" s="99"/>
      <c r="G10" s="99"/>
    </row>
    <row r="11" spans="2:12" x14ac:dyDescent="0.25">
      <c r="B11" s="347" t="s">
        <v>553</v>
      </c>
      <c r="C11" s="295" t="s">
        <v>549</v>
      </c>
      <c r="D11" s="284">
        <v>17856.971600000001</v>
      </c>
      <c r="E11" s="373">
        <f t="shared" si="0"/>
        <v>1785.6971600000002</v>
      </c>
      <c r="F11" s="99"/>
      <c r="G11" s="99"/>
      <c r="H11" s="99"/>
      <c r="I11" s="99"/>
    </row>
    <row r="12" spans="2:12" x14ac:dyDescent="0.25">
      <c r="B12" s="76"/>
      <c r="C12" t="s">
        <v>550</v>
      </c>
      <c r="D12" s="284">
        <v>17856.971600000001</v>
      </c>
      <c r="E12" s="350">
        <f t="shared" si="0"/>
        <v>1785.6971600000002</v>
      </c>
      <c r="F12" s="99"/>
      <c r="G12" s="99"/>
      <c r="H12" s="99"/>
      <c r="I12" s="99"/>
      <c r="J12" s="99"/>
      <c r="K12" s="146"/>
      <c r="L12" s="99"/>
    </row>
    <row r="13" spans="2:12" x14ac:dyDescent="0.25">
      <c r="B13" s="347" t="s">
        <v>7</v>
      </c>
      <c r="C13" s="391" t="s">
        <v>548</v>
      </c>
      <c r="D13" s="292">
        <v>17529.441042138482</v>
      </c>
      <c r="E13" s="350">
        <f t="shared" si="0"/>
        <v>1752.9441042138483</v>
      </c>
      <c r="F13" s="99"/>
      <c r="G13" s="99"/>
      <c r="H13" s="99"/>
      <c r="I13" s="99"/>
      <c r="J13" s="99"/>
      <c r="K13" s="146"/>
      <c r="L13" s="99"/>
    </row>
    <row r="14" spans="2:12" x14ac:dyDescent="0.25">
      <c r="B14" s="347" t="s">
        <v>8</v>
      </c>
      <c r="C14" s="325" t="s">
        <v>539</v>
      </c>
      <c r="D14" s="293">
        <v>13607.057645999999</v>
      </c>
      <c r="E14" s="372">
        <f t="shared" si="0"/>
        <v>1360.7057646000001</v>
      </c>
      <c r="F14" s="99"/>
      <c r="G14" s="99"/>
    </row>
    <row r="15" spans="2:12" x14ac:dyDescent="0.25">
      <c r="B15" s="374"/>
      <c r="C15" s="282" t="s">
        <v>547</v>
      </c>
      <c r="D15" s="284">
        <v>13607.057645999999</v>
      </c>
      <c r="E15" s="375">
        <f t="shared" si="0"/>
        <v>1360.7057646000001</v>
      </c>
      <c r="F15" s="99"/>
      <c r="G15" s="99"/>
      <c r="H15" s="147"/>
      <c r="I15" s="99"/>
      <c r="J15" s="99"/>
    </row>
    <row r="16" spans="2:12" x14ac:dyDescent="0.25">
      <c r="B16" s="347" t="s">
        <v>9</v>
      </c>
      <c r="C16" s="151" t="s">
        <v>461</v>
      </c>
      <c r="D16" s="3">
        <v>13551.048404908561</v>
      </c>
      <c r="E16" s="375">
        <f t="shared" si="0"/>
        <v>1355.1048404908561</v>
      </c>
      <c r="F16" s="99"/>
      <c r="G16" s="99"/>
      <c r="H16" s="99"/>
      <c r="I16" s="99"/>
      <c r="J16" s="99"/>
    </row>
    <row r="17" spans="2:10" x14ac:dyDescent="0.25">
      <c r="B17" s="347"/>
      <c r="E17" s="396"/>
      <c r="F17" s="99"/>
      <c r="G17" s="99"/>
      <c r="H17" s="99"/>
      <c r="I17" s="99"/>
    </row>
    <row r="18" spans="2:10" ht="15.75" thickBot="1" x14ac:dyDescent="0.3">
      <c r="B18" s="376"/>
      <c r="C18" s="281"/>
      <c r="D18" s="284"/>
      <c r="E18" s="377"/>
      <c r="F18" s="99"/>
      <c r="G18" s="99"/>
    </row>
    <row r="19" spans="2:10" x14ac:dyDescent="0.25">
      <c r="B19" s="378" t="s">
        <v>10</v>
      </c>
      <c r="C19" s="301" t="s">
        <v>532</v>
      </c>
      <c r="D19" s="299">
        <v>13342.691954592001</v>
      </c>
      <c r="E19" s="379">
        <f t="shared" si="0"/>
        <v>1334.2691954592001</v>
      </c>
      <c r="F19" s="99"/>
      <c r="G19" s="99"/>
      <c r="H19" s="147"/>
      <c r="I19" s="99"/>
      <c r="J19" s="99"/>
    </row>
    <row r="20" spans="2:10" x14ac:dyDescent="0.25">
      <c r="B20" s="380" t="s">
        <v>11</v>
      </c>
      <c r="C20" s="397" t="s">
        <v>15</v>
      </c>
      <c r="D20" s="3">
        <v>11556.6464</v>
      </c>
      <c r="E20" s="375">
        <f>D20*0.1</f>
        <v>1155.66464</v>
      </c>
      <c r="F20" s="99"/>
      <c r="G20" s="99"/>
      <c r="H20" s="99"/>
      <c r="I20" s="99"/>
      <c r="J20" s="99"/>
    </row>
    <row r="21" spans="2:10" ht="15.75" thickBot="1" x14ac:dyDescent="0.3">
      <c r="B21" s="351"/>
      <c r="C21" s="302"/>
      <c r="D21" s="300"/>
      <c r="E21" s="377"/>
      <c r="F21" s="99"/>
      <c r="G21" s="99"/>
    </row>
    <row r="22" spans="2:10" x14ac:dyDescent="0.25">
      <c r="B22" s="381" t="s">
        <v>12</v>
      </c>
      <c r="C22" s="150" t="s">
        <v>462</v>
      </c>
      <c r="D22" s="289">
        <v>11099.186208124558</v>
      </c>
      <c r="E22" s="346">
        <f t="shared" si="0"/>
        <v>1109.9186208124559</v>
      </c>
      <c r="F22" s="99"/>
      <c r="G22" s="99"/>
      <c r="J22" s="99"/>
    </row>
    <row r="23" spans="2:10" x14ac:dyDescent="0.25">
      <c r="B23" s="347"/>
      <c r="C23" s="294"/>
      <c r="D23" s="4"/>
      <c r="E23" s="373"/>
      <c r="F23" s="99"/>
      <c r="G23" s="99"/>
    </row>
    <row r="24" spans="2:10" ht="15.75" thickBot="1" x14ac:dyDescent="0.3">
      <c r="B24" s="382"/>
      <c r="C24" s="287"/>
      <c r="D24" s="286"/>
      <c r="E24" s="377"/>
      <c r="F24" s="99"/>
      <c r="G24" s="99"/>
    </row>
    <row r="25" spans="2:10" x14ac:dyDescent="0.25">
      <c r="B25" s="381" t="s">
        <v>14</v>
      </c>
      <c r="C25" s="288" t="s">
        <v>463</v>
      </c>
      <c r="D25" s="289">
        <v>10778.88903024024</v>
      </c>
      <c r="E25" s="346">
        <f t="shared" si="0"/>
        <v>1077.8889030240241</v>
      </c>
      <c r="F25" s="99"/>
      <c r="G25" s="99"/>
    </row>
    <row r="26" spans="2:10" x14ac:dyDescent="0.25">
      <c r="B26" s="368"/>
      <c r="C26" s="326" t="s">
        <v>545</v>
      </c>
      <c r="D26" s="356">
        <v>10778.88903024024</v>
      </c>
      <c r="E26" s="373">
        <f t="shared" ref="E26" si="1">D26*0.1</f>
        <v>1077.8889030240241</v>
      </c>
      <c r="F26" s="99"/>
      <c r="G26" s="99"/>
    </row>
    <row r="27" spans="2:10" x14ac:dyDescent="0.25">
      <c r="B27" s="368"/>
      <c r="C27" s="151" t="s">
        <v>13</v>
      </c>
      <c r="D27" s="3">
        <v>10778.88903024024</v>
      </c>
      <c r="E27" s="372">
        <f t="shared" si="0"/>
        <v>1077.8889030240241</v>
      </c>
      <c r="F27" s="99"/>
      <c r="G27" s="99"/>
    </row>
    <row r="28" spans="2:10" x14ac:dyDescent="0.25">
      <c r="B28" s="347"/>
      <c r="C28" s="151" t="s">
        <v>17</v>
      </c>
      <c r="D28" s="3">
        <v>10778.88903024024</v>
      </c>
      <c r="E28" s="372">
        <f t="shared" si="0"/>
        <v>1077.8889030240241</v>
      </c>
      <c r="F28" s="99"/>
      <c r="G28" s="99"/>
    </row>
    <row r="29" spans="2:10" x14ac:dyDescent="0.25">
      <c r="B29" s="348"/>
      <c r="C29" s="398" t="s">
        <v>468</v>
      </c>
      <c r="D29" s="3">
        <v>10778.893673184002</v>
      </c>
      <c r="E29" s="373">
        <f t="shared" si="0"/>
        <v>1077.8893673184002</v>
      </c>
      <c r="F29" s="99"/>
      <c r="G29" s="99"/>
    </row>
    <row r="30" spans="2:10" ht="15.75" thickBot="1" x14ac:dyDescent="0.3">
      <c r="B30" s="383"/>
      <c r="C30" s="282"/>
      <c r="D30" s="284"/>
      <c r="E30" s="375"/>
      <c r="F30" s="99"/>
      <c r="G30" s="99"/>
    </row>
    <row r="31" spans="2:10" x14ac:dyDescent="0.25">
      <c r="B31" s="384"/>
      <c r="C31" s="283"/>
      <c r="D31" s="285"/>
      <c r="E31" s="385"/>
      <c r="F31" s="99"/>
      <c r="G31" s="99"/>
    </row>
    <row r="32" spans="2:10" x14ac:dyDescent="0.25">
      <c r="B32" s="386" t="s">
        <v>16</v>
      </c>
      <c r="C32" s="326" t="s">
        <v>542</v>
      </c>
      <c r="D32" s="298">
        <v>9562.2525440000009</v>
      </c>
      <c r="E32" s="372">
        <f t="shared" si="0"/>
        <v>956.22525440000015</v>
      </c>
      <c r="F32" s="99"/>
      <c r="G32" s="99"/>
    </row>
    <row r="33" spans="2:9" x14ac:dyDescent="0.25">
      <c r="B33" s="387"/>
      <c r="C33" s="151" t="s">
        <v>465</v>
      </c>
      <c r="D33" s="292">
        <v>9562.2543394559998</v>
      </c>
      <c r="E33" s="372">
        <f t="shared" ref="E33" si="2">D33*0.1</f>
        <v>956.2254339456</v>
      </c>
      <c r="F33" s="99"/>
      <c r="G33" s="99"/>
    </row>
    <row r="34" spans="2:9" ht="15.75" thickBot="1" x14ac:dyDescent="0.3">
      <c r="B34" s="383"/>
      <c r="C34" s="282"/>
      <c r="D34" s="291"/>
      <c r="E34" s="375"/>
      <c r="F34" s="99"/>
      <c r="G34" s="99"/>
    </row>
    <row r="35" spans="2:9" x14ac:dyDescent="0.25">
      <c r="B35" s="345" t="s">
        <v>552</v>
      </c>
      <c r="C35" s="290" t="s">
        <v>464</v>
      </c>
      <c r="D35" s="354">
        <v>8522.8388725334426</v>
      </c>
      <c r="E35" s="346">
        <f t="shared" si="0"/>
        <v>852.28388725334435</v>
      </c>
      <c r="F35" s="99"/>
      <c r="G35" s="99"/>
    </row>
    <row r="36" spans="2:9" x14ac:dyDescent="0.25">
      <c r="B36" s="347"/>
      <c r="C36" s="325" t="s">
        <v>540</v>
      </c>
      <c r="D36" s="355">
        <v>8522.8388725334426</v>
      </c>
      <c r="E36" s="357">
        <f t="shared" si="0"/>
        <v>852.28388725334435</v>
      </c>
      <c r="F36" s="99"/>
      <c r="G36" s="99"/>
    </row>
    <row r="37" spans="2:9" x14ac:dyDescent="0.25">
      <c r="B37" s="360" t="s">
        <v>551</v>
      </c>
      <c r="C37" s="389" t="s">
        <v>466</v>
      </c>
      <c r="D37" s="355">
        <v>8475.52</v>
      </c>
      <c r="E37" s="361">
        <f t="shared" si="0"/>
        <v>847.55200000000013</v>
      </c>
      <c r="F37" s="99"/>
      <c r="G37" s="99"/>
      <c r="H37" s="99"/>
      <c r="I37" s="99"/>
    </row>
    <row r="38" spans="2:9" x14ac:dyDescent="0.25">
      <c r="B38" s="348"/>
      <c r="C38" s="390" t="s">
        <v>541</v>
      </c>
      <c r="D38" s="355">
        <v>8475.52</v>
      </c>
      <c r="E38" s="358">
        <f t="shared" si="0"/>
        <v>847.55200000000013</v>
      </c>
      <c r="F38" s="99"/>
      <c r="G38" s="99"/>
      <c r="H38" s="99"/>
      <c r="I38" s="99"/>
    </row>
    <row r="39" spans="2:9" ht="15.75" thickBot="1" x14ac:dyDescent="0.3">
      <c r="B39" s="364"/>
      <c r="C39" s="362"/>
      <c r="D39" s="365"/>
      <c r="E39" s="363"/>
      <c r="F39" s="99"/>
      <c r="G39" s="99"/>
    </row>
    <row r="40" spans="2:9" x14ac:dyDescent="0.25">
      <c r="B40" s="388" t="s">
        <v>554</v>
      </c>
      <c r="C40" s="326" t="s">
        <v>467</v>
      </c>
      <c r="D40" s="359">
        <v>8475.52</v>
      </c>
      <c r="E40" s="361">
        <f t="shared" si="0"/>
        <v>847.55200000000013</v>
      </c>
      <c r="F40" s="99"/>
      <c r="G40" s="99"/>
    </row>
    <row r="41" spans="2:9" ht="15.75" thickBot="1" x14ac:dyDescent="0.3">
      <c r="B41" s="351"/>
      <c r="C41" s="352"/>
      <c r="D41" s="349"/>
      <c r="E41" s="353"/>
      <c r="F41" s="99"/>
      <c r="G41" s="99"/>
    </row>
  </sheetData>
  <mergeCells count="4">
    <mergeCell ref="B2:E2"/>
    <mergeCell ref="B3:E3"/>
    <mergeCell ref="B4:E4"/>
    <mergeCell ref="B6:E6"/>
  </mergeCells>
  <pageMargins left="0.25" right="0.25" top="0.75" bottom="0.75" header="0.3" footer="0.3"/>
  <pageSetup paperSize="5" scale="80" fitToHeight="0" orientation="portrait" r:id="rId1"/>
  <headerFoot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AB69"/>
  <sheetViews>
    <sheetView zoomScaleNormal="100" workbookViewId="0">
      <pane xSplit="6" ySplit="15" topLeftCell="K46" activePane="bottomRight" state="frozen"/>
      <selection pane="topRight" activeCell="G1" sqref="G1"/>
      <selection pane="bottomLeft" activeCell="A16" sqref="A16"/>
      <selection pane="bottomRight" sqref="A1:W61"/>
    </sheetView>
  </sheetViews>
  <sheetFormatPr baseColWidth="10" defaultRowHeight="15" x14ac:dyDescent="0.25"/>
  <cols>
    <col min="1" max="1" width="11.42578125" style="11" customWidth="1"/>
    <col min="2" max="2" width="21.85546875" style="11" customWidth="1"/>
    <col min="3" max="3" width="37.28515625" style="11" customWidth="1"/>
    <col min="4" max="4" width="8" style="11" customWidth="1"/>
    <col min="5" max="5" width="10" style="11" customWidth="1"/>
    <col min="6" max="6" width="10.42578125" style="11" bestFit="1" customWidth="1"/>
    <col min="7" max="7" width="11.140625" style="11" customWidth="1"/>
    <col min="8" max="8" width="10.42578125" style="11" customWidth="1"/>
    <col min="9" max="10" width="14.140625" style="11" customWidth="1"/>
    <col min="11" max="11" width="13.140625" style="11" customWidth="1"/>
    <col min="12" max="12" width="10.42578125" style="11" customWidth="1"/>
    <col min="13" max="13" width="14" style="11" customWidth="1"/>
    <col min="14" max="14" width="11.28515625" style="11" customWidth="1"/>
    <col min="15" max="15" width="13" style="11" customWidth="1"/>
    <col min="16" max="16" width="12.28515625" style="11" customWidth="1"/>
    <col min="17" max="17" width="8.85546875" style="11" customWidth="1"/>
    <col min="18" max="18" width="12.7109375" style="11" customWidth="1"/>
    <col min="19" max="19" width="13" style="11" customWidth="1"/>
    <col min="20" max="20" width="11.5703125" style="11" customWidth="1"/>
    <col min="21" max="21" width="13" style="11" customWidth="1"/>
    <col min="22" max="22" width="10.5703125" style="11" customWidth="1"/>
    <col min="23" max="23" width="15.5703125" style="11" customWidth="1"/>
    <col min="24" max="24" width="4.140625" style="11" bestFit="1" customWidth="1"/>
    <col min="25" max="25" width="5" style="11" customWidth="1"/>
    <col min="26" max="26" width="13.42578125" bestFit="1" customWidth="1"/>
    <col min="28" max="28" width="13.5703125" bestFit="1" customWidth="1"/>
  </cols>
  <sheetData>
    <row r="1" spans="1:24" x14ac:dyDescent="0.25">
      <c r="A1" s="5"/>
      <c r="B1" s="6"/>
      <c r="C1" s="7"/>
      <c r="D1" s="7"/>
      <c r="E1" s="8"/>
      <c r="F1" s="9"/>
      <c r="G1" s="9"/>
      <c r="H1" s="9"/>
      <c r="I1" s="9"/>
      <c r="J1" s="9"/>
      <c r="K1" s="10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4" ht="22.5" x14ac:dyDescent="0.3">
      <c r="A2" s="5"/>
      <c r="B2" s="6"/>
      <c r="C2" s="416" t="s">
        <v>18</v>
      </c>
      <c r="D2" s="416"/>
      <c r="E2" s="416"/>
      <c r="F2" s="416"/>
      <c r="G2" s="416"/>
      <c r="H2" s="416"/>
      <c r="I2" s="416"/>
      <c r="J2" s="12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9"/>
      <c r="V2" s="9"/>
      <c r="W2" s="9"/>
    </row>
    <row r="3" spans="1:24" x14ac:dyDescent="0.25">
      <c r="A3" s="5"/>
      <c r="B3" s="6"/>
      <c r="C3" s="7"/>
      <c r="D3" s="7"/>
      <c r="E3" s="8"/>
      <c r="F3" s="9"/>
      <c r="G3" s="9"/>
      <c r="H3" s="9"/>
      <c r="I3" s="9"/>
      <c r="J3" s="9"/>
      <c r="K3" s="10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4" ht="20.25" x14ac:dyDescent="0.3">
      <c r="A4" s="5"/>
      <c r="B4" s="6"/>
      <c r="C4" s="417" t="s">
        <v>0</v>
      </c>
      <c r="D4" s="417"/>
      <c r="E4" s="417"/>
      <c r="F4" s="417"/>
      <c r="G4" s="417"/>
      <c r="H4" s="417"/>
      <c r="I4" s="417"/>
      <c r="J4" s="13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9"/>
      <c r="V4" s="9"/>
      <c r="W4" s="9"/>
    </row>
    <row r="5" spans="1:24" ht="15.75" x14ac:dyDescent="0.25">
      <c r="A5" s="5"/>
      <c r="B5" s="6"/>
      <c r="C5" s="419" t="s">
        <v>556</v>
      </c>
      <c r="D5" s="419"/>
      <c r="E5" s="419"/>
      <c r="F5" s="419"/>
      <c r="G5" s="419"/>
      <c r="H5" s="419"/>
      <c r="I5" s="419"/>
      <c r="J5" s="14"/>
      <c r="K5" s="420"/>
      <c r="L5" s="420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18.75" x14ac:dyDescent="0.3">
      <c r="A6" s="5"/>
      <c r="B6" s="6"/>
      <c r="C6" s="421">
        <v>2025</v>
      </c>
      <c r="D6" s="421"/>
      <c r="E6" s="421"/>
      <c r="F6" s="421"/>
      <c r="G6" s="421"/>
      <c r="H6" s="421"/>
      <c r="I6" s="421"/>
      <c r="J6" s="15"/>
      <c r="K6" s="10"/>
      <c r="L6" s="422"/>
      <c r="M6" s="422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18" x14ac:dyDescent="0.25">
      <c r="A7" s="5"/>
      <c r="B7" s="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16"/>
      <c r="V7" s="16"/>
      <c r="W7" s="16"/>
    </row>
    <row r="8" spans="1:24" x14ac:dyDescent="0.25">
      <c r="A8" s="5"/>
      <c r="B8" s="5"/>
      <c r="C8" s="423"/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3"/>
      <c r="Q8" s="423"/>
      <c r="R8" s="423"/>
      <c r="S8" s="423"/>
      <c r="T8" s="423"/>
      <c r="U8" s="16"/>
      <c r="V8" s="16"/>
      <c r="W8" s="16"/>
    </row>
    <row r="9" spans="1:24" ht="15.75" thickBot="1" x14ac:dyDescent="0.3">
      <c r="A9" s="5"/>
      <c r="B9" s="5"/>
      <c r="C9" s="16"/>
      <c r="D9" s="6"/>
      <c r="E9" s="8"/>
      <c r="F9" s="424"/>
      <c r="G9" s="424"/>
      <c r="H9" s="424"/>
      <c r="I9" s="16"/>
      <c r="J9" s="16"/>
      <c r="K9" s="16"/>
      <c r="L9" s="9"/>
      <c r="M9" s="9"/>
      <c r="N9" s="16"/>
      <c r="O9" s="16"/>
      <c r="P9" s="16"/>
      <c r="Q9" s="17"/>
      <c r="R9" s="16"/>
      <c r="S9" s="16"/>
      <c r="T9" s="16"/>
      <c r="U9" s="16"/>
      <c r="V9" s="16"/>
      <c r="W9" s="18" t="s">
        <v>534</v>
      </c>
      <c r="X9" s="18"/>
    </row>
    <row r="10" spans="1:24" x14ac:dyDescent="0.25">
      <c r="A10" s="425" t="s">
        <v>19</v>
      </c>
      <c r="B10" s="427" t="s">
        <v>20</v>
      </c>
      <c r="C10" s="427" t="s">
        <v>21</v>
      </c>
      <c r="D10" s="427" t="s">
        <v>22</v>
      </c>
      <c r="E10" s="429" t="s">
        <v>23</v>
      </c>
      <c r="F10" s="431" t="s">
        <v>24</v>
      </c>
      <c r="G10" s="432"/>
      <c r="H10" s="433"/>
      <c r="I10" s="431" t="s">
        <v>25</v>
      </c>
      <c r="J10" s="432"/>
      <c r="K10" s="432"/>
      <c r="L10" s="431" t="s">
        <v>26</v>
      </c>
      <c r="M10" s="433"/>
      <c r="N10" s="432" t="s">
        <v>27</v>
      </c>
      <c r="O10" s="432"/>
      <c r="P10" s="19" t="s">
        <v>24</v>
      </c>
      <c r="Q10" s="432" t="s">
        <v>28</v>
      </c>
      <c r="R10" s="433"/>
      <c r="S10" s="432" t="s">
        <v>27</v>
      </c>
      <c r="T10" s="432"/>
      <c r="U10" s="433"/>
      <c r="V10" s="432"/>
      <c r="W10" s="433"/>
    </row>
    <row r="11" spans="1:24" ht="32.25" customHeight="1" thickBot="1" x14ac:dyDescent="0.3">
      <c r="A11" s="426"/>
      <c r="B11" s="428"/>
      <c r="C11" s="428"/>
      <c r="D11" s="428"/>
      <c r="E11" s="430"/>
      <c r="F11" s="20" t="s">
        <v>29</v>
      </c>
      <c r="G11" s="21" t="s">
        <v>30</v>
      </c>
      <c r="H11" s="22" t="s">
        <v>31</v>
      </c>
      <c r="I11" s="20" t="s">
        <v>2</v>
      </c>
      <c r="J11" s="21" t="s">
        <v>30</v>
      </c>
      <c r="K11" s="23" t="s">
        <v>31</v>
      </c>
      <c r="L11" s="24" t="s">
        <v>32</v>
      </c>
      <c r="M11" s="25" t="s">
        <v>33</v>
      </c>
      <c r="N11" s="26" t="s">
        <v>32</v>
      </c>
      <c r="O11" s="25" t="s">
        <v>33</v>
      </c>
      <c r="P11" s="21" t="s">
        <v>34</v>
      </c>
      <c r="Q11" s="27" t="s">
        <v>35</v>
      </c>
      <c r="R11" s="28" t="s">
        <v>36</v>
      </c>
      <c r="S11" s="21" t="s">
        <v>34</v>
      </c>
      <c r="T11" s="27" t="s">
        <v>37</v>
      </c>
      <c r="U11" s="28" t="s">
        <v>36</v>
      </c>
      <c r="V11" s="21" t="s">
        <v>38</v>
      </c>
      <c r="W11" s="29" t="s">
        <v>535</v>
      </c>
    </row>
    <row r="12" spans="1:24" hidden="1" x14ac:dyDescent="0.25">
      <c r="A12" s="5"/>
      <c r="B12" s="5"/>
      <c r="C12" s="6"/>
      <c r="D12" s="6"/>
      <c r="E12" s="30"/>
      <c r="F12" s="31"/>
      <c r="G12" s="32"/>
      <c r="H12" s="33"/>
      <c r="I12" s="31"/>
      <c r="J12" s="32"/>
      <c r="K12" s="33"/>
      <c r="L12" s="34"/>
      <c r="M12" s="35"/>
      <c r="N12" s="31"/>
      <c r="O12" s="33"/>
      <c r="P12" s="31"/>
      <c r="Q12" s="32"/>
      <c r="R12" s="33"/>
      <c r="S12" s="31"/>
      <c r="T12" s="32"/>
      <c r="U12" s="33"/>
      <c r="V12" s="36"/>
      <c r="W12" s="36"/>
    </row>
    <row r="13" spans="1:24" ht="15.75" hidden="1" thickBot="1" x14ac:dyDescent="0.3">
      <c r="A13" s="435" t="s">
        <v>39</v>
      </c>
      <c r="B13" s="435"/>
      <c r="C13" s="37">
        <f>D49</f>
        <v>37</v>
      </c>
      <c r="D13" s="38"/>
      <c r="E13" s="30"/>
      <c r="F13" s="39"/>
      <c r="G13" s="9"/>
      <c r="H13" s="40"/>
      <c r="I13" s="39"/>
      <c r="J13" s="9"/>
      <c r="K13" s="41"/>
      <c r="L13" s="39"/>
      <c r="M13" s="40"/>
      <c r="N13" s="42"/>
      <c r="O13" s="41"/>
      <c r="P13" s="42"/>
      <c r="Q13" s="16"/>
      <c r="R13" s="41"/>
      <c r="S13" s="42"/>
      <c r="T13" s="16"/>
      <c r="U13" s="41"/>
      <c r="V13" s="43"/>
      <c r="W13" s="43"/>
    </row>
    <row r="14" spans="1:24" hidden="1" x14ac:dyDescent="0.25">
      <c r="A14" s="5"/>
      <c r="B14" s="5"/>
      <c r="C14" s="5"/>
      <c r="D14" s="5"/>
      <c r="E14" s="30"/>
      <c r="F14" s="42"/>
      <c r="G14" s="16"/>
      <c r="H14" s="41"/>
      <c r="I14" s="42"/>
      <c r="J14" s="16"/>
      <c r="K14" s="41"/>
      <c r="L14" s="39"/>
      <c r="M14" s="40"/>
      <c r="N14" s="42"/>
      <c r="O14" s="41"/>
      <c r="P14" s="42"/>
      <c r="Q14" s="16"/>
      <c r="R14" s="41"/>
      <c r="S14" s="42"/>
      <c r="T14" s="16"/>
      <c r="U14" s="41"/>
      <c r="V14" s="43"/>
      <c r="W14" s="43"/>
    </row>
    <row r="15" spans="1:24" hidden="1" x14ac:dyDescent="0.25">
      <c r="A15" s="5"/>
      <c r="B15" s="44"/>
      <c r="C15" s="5"/>
      <c r="D15" s="5"/>
      <c r="E15" s="30"/>
      <c r="F15" s="45"/>
      <c r="G15" s="46"/>
      <c r="H15" s="47"/>
      <c r="I15" s="45"/>
      <c r="J15" s="46"/>
      <c r="K15" s="47"/>
      <c r="L15" s="39"/>
      <c r="M15" s="48"/>
      <c r="N15" s="42"/>
      <c r="O15" s="47"/>
      <c r="P15" s="42"/>
      <c r="Q15" s="46"/>
      <c r="R15" s="41"/>
      <c r="S15" s="42"/>
      <c r="T15" s="46"/>
      <c r="U15" s="41"/>
      <c r="V15" s="43"/>
      <c r="W15" s="43"/>
    </row>
    <row r="16" spans="1:24" x14ac:dyDescent="0.25">
      <c r="A16" s="49" t="s">
        <v>40</v>
      </c>
      <c r="B16" s="49" t="s">
        <v>41</v>
      </c>
      <c r="C16" s="49" t="str">
        <f>'ANALITICO DE PLAZAS'!C7</f>
        <v>DIRECTOR GENERAL DEL SMAPA</v>
      </c>
      <c r="D16" s="50">
        <v>1</v>
      </c>
      <c r="E16" s="51">
        <f>+F16/30.4</f>
        <v>971.40518532163333</v>
      </c>
      <c r="F16" s="52">
        <f>'ANALITICO DE PLAZAS'!D7</f>
        <v>29530.717633777651</v>
      </c>
      <c r="G16" s="52">
        <f>87.67*2</f>
        <v>175.34</v>
      </c>
      <c r="H16" s="52">
        <f>F16*0.1</f>
        <v>2953.0717633777654</v>
      </c>
      <c r="I16" s="53">
        <f>+F16*12*D16</f>
        <v>354368.61160533183</v>
      </c>
      <c r="J16" s="53">
        <f>G16*D16*12</f>
        <v>2104.08</v>
      </c>
      <c r="K16" s="53">
        <f>+H16*12*D16</f>
        <v>35436.861160533183</v>
      </c>
      <c r="L16" s="53">
        <f>E16*20*30%</f>
        <v>5828.4311119298</v>
      </c>
      <c r="M16" s="53">
        <f>E16*45</f>
        <v>43713.233339473503</v>
      </c>
      <c r="N16" s="53">
        <f>L16*D16</f>
        <v>5828.4311119298</v>
      </c>
      <c r="O16" s="53">
        <f>M16*D16</f>
        <v>43713.233339473503</v>
      </c>
      <c r="P16" s="280">
        <f>S16/12</f>
        <v>2250</v>
      </c>
      <c r="Q16" s="54">
        <f>T16/6</f>
        <v>5491.12</v>
      </c>
      <c r="R16" s="54">
        <f>U16/6</f>
        <v>3307</v>
      </c>
      <c r="S16" s="331">
        <v>27000</v>
      </c>
      <c r="T16" s="331">
        <v>32946.720000000001</v>
      </c>
      <c r="U16" s="332">
        <v>19842</v>
      </c>
      <c r="V16" s="53">
        <v>0</v>
      </c>
      <c r="W16" s="55">
        <f>(I16+J16+K16+N16+O16)*$W$9</f>
        <v>13243.536516518048</v>
      </c>
    </row>
    <row r="17" spans="1:25" x14ac:dyDescent="0.25">
      <c r="A17" s="49" t="s">
        <v>42</v>
      </c>
      <c r="B17" s="49" t="s">
        <v>41</v>
      </c>
      <c r="C17" s="56" t="str">
        <f>'ANALITICO DE PLAZAS'!C10</f>
        <v>COORDINADOR ADMINISTRATIVO</v>
      </c>
      <c r="D17" s="50">
        <v>1</v>
      </c>
      <c r="E17" s="51">
        <f t="shared" ref="E17:E30" si="0">+F17/30.4</f>
        <v>686.84309071667781</v>
      </c>
      <c r="F17" s="52">
        <f>'ANALITICO DE PLAZAS'!D10</f>
        <v>20880.029957787003</v>
      </c>
      <c r="G17" s="52">
        <f>87.67*2</f>
        <v>175.34</v>
      </c>
      <c r="H17" s="52">
        <f t="shared" ref="H17:H31" si="1">F17*0.1</f>
        <v>2088.0029957787006</v>
      </c>
      <c r="I17" s="53">
        <f>+F17*12*D17</f>
        <v>250560.35949344403</v>
      </c>
      <c r="J17" s="53">
        <f t="shared" ref="J17:J31" si="2">G17*D17*12</f>
        <v>2104.08</v>
      </c>
      <c r="K17" s="53">
        <f t="shared" ref="K17:K31" si="3">+H17*12*D17</f>
        <v>25056.035949344405</v>
      </c>
      <c r="L17" s="53">
        <f t="shared" ref="L17:L31" si="4">E17*20*30%</f>
        <v>4121.0585443000664</v>
      </c>
      <c r="M17" s="53">
        <f t="shared" ref="M17:M31" si="5">E17*45</f>
        <v>30907.939082250501</v>
      </c>
      <c r="N17" s="53">
        <f>L17*D17</f>
        <v>4121.0585443000664</v>
      </c>
      <c r="O17" s="53">
        <f t="shared" ref="O17:O31" si="6">M17*D17</f>
        <v>30907.939082250501</v>
      </c>
      <c r="P17" s="280">
        <f t="shared" ref="P17:P31" si="7">S17/12</f>
        <v>1751.8333333333333</v>
      </c>
      <c r="Q17" s="54">
        <f>T17/6</f>
        <v>3882.6666666666665</v>
      </c>
      <c r="R17" s="54">
        <f t="shared" ref="R17:R31" si="8">U17/6</f>
        <v>2295.8333333333335</v>
      </c>
      <c r="S17" s="331">
        <v>21022</v>
      </c>
      <c r="T17" s="331">
        <v>23296</v>
      </c>
      <c r="U17" s="332">
        <v>13775</v>
      </c>
      <c r="V17" s="53"/>
      <c r="W17" s="55">
        <f t="shared" ref="W17:W31" si="9">(I17+J17+K17+N17+O17)*$W$9</f>
        <v>9382.4841920801719</v>
      </c>
    </row>
    <row r="18" spans="1:25" x14ac:dyDescent="0.25">
      <c r="A18" s="49" t="s">
        <v>42</v>
      </c>
      <c r="B18" s="49" t="s">
        <v>41</v>
      </c>
      <c r="C18" s="56" t="str">
        <f>'ANALITICO DE PLAZAS'!C11</f>
        <v>COORDINADOR DEPTO. CONTABILIDAD</v>
      </c>
      <c r="D18" s="50">
        <v>1</v>
      </c>
      <c r="E18" s="51">
        <f t="shared" si="0"/>
        <v>587.40038157894742</v>
      </c>
      <c r="F18" s="52">
        <f>'ANALITICO DE PLAZAS'!D11</f>
        <v>17856.971600000001</v>
      </c>
      <c r="G18" s="52">
        <f t="shared" ref="G18:G31" si="10">87.67*2</f>
        <v>175.34</v>
      </c>
      <c r="H18" s="52">
        <f>F18*0.1</f>
        <v>1785.6971600000002</v>
      </c>
      <c r="I18" s="53">
        <f>+F18*12*D18</f>
        <v>214283.65919999999</v>
      </c>
      <c r="J18" s="53">
        <f t="shared" si="2"/>
        <v>2104.08</v>
      </c>
      <c r="K18" s="53">
        <f t="shared" si="3"/>
        <v>21428.365920000004</v>
      </c>
      <c r="L18" s="53">
        <f t="shared" si="4"/>
        <v>3524.4022894736845</v>
      </c>
      <c r="M18" s="53">
        <f t="shared" si="5"/>
        <v>26433.017171052634</v>
      </c>
      <c r="N18" s="53">
        <f t="shared" ref="N18:N31" si="11">L18*D18</f>
        <v>3524.4022894736845</v>
      </c>
      <c r="O18" s="53">
        <f t="shared" si="6"/>
        <v>26433.017171052634</v>
      </c>
      <c r="P18" s="280">
        <f t="shared" si="7"/>
        <v>1637</v>
      </c>
      <c r="Q18" s="54">
        <f t="shared" ref="Q18:Q31" si="12">T18/6</f>
        <v>2758.3333333333335</v>
      </c>
      <c r="R18" s="54">
        <f t="shared" si="8"/>
        <v>1631</v>
      </c>
      <c r="S18" s="331">
        <v>19644</v>
      </c>
      <c r="T18" s="331">
        <v>16550</v>
      </c>
      <c r="U18" s="332">
        <v>9786</v>
      </c>
      <c r="V18" s="53">
        <v>0</v>
      </c>
      <c r="W18" s="55">
        <f t="shared" si="9"/>
        <v>8033.2057374157885</v>
      </c>
    </row>
    <row r="19" spans="1:25" x14ac:dyDescent="0.25">
      <c r="A19" s="49" t="s">
        <v>42</v>
      </c>
      <c r="B19" s="49" t="s">
        <v>41</v>
      </c>
      <c r="C19" s="56" t="str">
        <f>'ANALITICO DE PLAZAS'!C12</f>
        <v>COORDINADOR DEPTO. COMERCIALIZACION</v>
      </c>
      <c r="D19" s="50">
        <v>1</v>
      </c>
      <c r="E19" s="51">
        <f>+F19/30.4</f>
        <v>587.40038157894742</v>
      </c>
      <c r="F19" s="52">
        <f>'ANALITICO DE PLAZAS'!D12</f>
        <v>17856.971600000001</v>
      </c>
      <c r="G19" s="52">
        <f t="shared" si="10"/>
        <v>175.34</v>
      </c>
      <c r="H19" s="52">
        <f t="shared" si="1"/>
        <v>1785.6971600000002</v>
      </c>
      <c r="I19" s="53">
        <f t="shared" ref="I19:I31" si="13">+F19*12*D19</f>
        <v>214283.65919999999</v>
      </c>
      <c r="J19" s="53">
        <f t="shared" si="2"/>
        <v>2104.08</v>
      </c>
      <c r="K19" s="53">
        <f t="shared" si="3"/>
        <v>21428.365920000004</v>
      </c>
      <c r="L19" s="53">
        <f t="shared" si="4"/>
        <v>3524.4022894736845</v>
      </c>
      <c r="M19" s="53">
        <f t="shared" si="5"/>
        <v>26433.017171052634</v>
      </c>
      <c r="N19" s="53">
        <f t="shared" si="11"/>
        <v>3524.4022894736845</v>
      </c>
      <c r="O19" s="53">
        <f t="shared" si="6"/>
        <v>26433.017171052634</v>
      </c>
      <c r="P19" s="280">
        <f t="shared" si="7"/>
        <v>1637</v>
      </c>
      <c r="Q19" s="54">
        <f t="shared" si="12"/>
        <v>2758.3333333333335</v>
      </c>
      <c r="R19" s="54">
        <f t="shared" si="8"/>
        <v>1631</v>
      </c>
      <c r="S19" s="331">
        <v>19644</v>
      </c>
      <c r="T19" s="331">
        <v>16550</v>
      </c>
      <c r="U19" s="332">
        <v>9786</v>
      </c>
      <c r="V19" s="53"/>
      <c r="W19" s="55">
        <f t="shared" si="9"/>
        <v>8033.2057374157885</v>
      </c>
    </row>
    <row r="20" spans="1:25" x14ac:dyDescent="0.25">
      <c r="A20" s="49" t="s">
        <v>42</v>
      </c>
      <c r="B20" s="49" t="s">
        <v>41</v>
      </c>
      <c r="C20" s="56" t="str">
        <f>'ANALITICO DE PLAZAS'!C25</f>
        <v>AUXILIAR ADMINISTRATIVO</v>
      </c>
      <c r="D20" s="50">
        <v>2</v>
      </c>
      <c r="E20" s="51">
        <f t="shared" si="0"/>
        <v>354.56871810000791</v>
      </c>
      <c r="F20" s="52">
        <f>'ANALITICO DE PLAZAS'!D25</f>
        <v>10778.88903024024</v>
      </c>
      <c r="G20" s="52">
        <f t="shared" si="10"/>
        <v>175.34</v>
      </c>
      <c r="H20" s="52">
        <f t="shared" si="1"/>
        <v>1077.8889030240241</v>
      </c>
      <c r="I20" s="53">
        <f t="shared" si="13"/>
        <v>258693.33672576575</v>
      </c>
      <c r="J20" s="53">
        <f t="shared" si="2"/>
        <v>4208.16</v>
      </c>
      <c r="K20" s="53">
        <f t="shared" si="3"/>
        <v>25869.333672576577</v>
      </c>
      <c r="L20" s="53">
        <f t="shared" si="4"/>
        <v>2127.4123086000477</v>
      </c>
      <c r="M20" s="53">
        <f t="shared" si="5"/>
        <v>15955.592314500356</v>
      </c>
      <c r="N20" s="53">
        <f t="shared" si="11"/>
        <v>4254.8246172000954</v>
      </c>
      <c r="O20" s="53">
        <f t="shared" si="6"/>
        <v>31911.184629000712</v>
      </c>
      <c r="P20" s="280">
        <f t="shared" si="7"/>
        <v>2340</v>
      </c>
      <c r="Q20" s="54">
        <f t="shared" si="12"/>
        <v>3796</v>
      </c>
      <c r="R20" s="54">
        <f t="shared" si="8"/>
        <v>2370.3333333333335</v>
      </c>
      <c r="S20" s="331">
        <v>28080</v>
      </c>
      <c r="T20" s="331">
        <v>22776</v>
      </c>
      <c r="U20" s="331">
        <v>14222</v>
      </c>
      <c r="V20" s="53">
        <v>0</v>
      </c>
      <c r="W20" s="55">
        <f t="shared" si="9"/>
        <v>9748.1051893362946</v>
      </c>
    </row>
    <row r="21" spans="1:25" x14ac:dyDescent="0.25">
      <c r="A21" s="59" t="s">
        <v>42</v>
      </c>
      <c r="B21" s="49" t="s">
        <v>41</v>
      </c>
      <c r="C21" s="60" t="str">
        <f>'ANALITICO DE PLAZAS'!C26</f>
        <v>AUXILIAR DE CULTURA DEL AGUA</v>
      </c>
      <c r="D21" s="61">
        <v>1</v>
      </c>
      <c r="E21" s="51">
        <f t="shared" si="0"/>
        <v>354.56871810000791</v>
      </c>
      <c r="F21" s="52">
        <f>'ANALITICO DE PLAZAS'!D26</f>
        <v>10778.88903024024</v>
      </c>
      <c r="G21" s="52">
        <f t="shared" si="10"/>
        <v>175.34</v>
      </c>
      <c r="H21" s="52">
        <f t="shared" ref="H21" si="14">F21*0.1</f>
        <v>1077.8889030240241</v>
      </c>
      <c r="I21" s="53">
        <f t="shared" si="13"/>
        <v>129346.66836288288</v>
      </c>
      <c r="J21" s="53">
        <f t="shared" si="2"/>
        <v>2104.08</v>
      </c>
      <c r="K21" s="53">
        <f t="shared" si="3"/>
        <v>12934.666836288288</v>
      </c>
      <c r="L21" s="53">
        <f t="shared" si="4"/>
        <v>2127.4123086000477</v>
      </c>
      <c r="M21" s="53">
        <f t="shared" si="5"/>
        <v>15955.592314500356</v>
      </c>
      <c r="N21" s="53">
        <f t="shared" si="11"/>
        <v>2127.4123086000477</v>
      </c>
      <c r="O21" s="53">
        <f t="shared" si="6"/>
        <v>15955.592314500356</v>
      </c>
      <c r="P21" s="280">
        <f t="shared" si="7"/>
        <v>1170</v>
      </c>
      <c r="Q21" s="54">
        <f t="shared" si="12"/>
        <v>1898</v>
      </c>
      <c r="R21" s="54">
        <f t="shared" si="8"/>
        <v>1185.1666666666667</v>
      </c>
      <c r="S21" s="331">
        <v>14040</v>
      </c>
      <c r="T21" s="331">
        <v>11388</v>
      </c>
      <c r="U21" s="331">
        <v>7111</v>
      </c>
      <c r="V21" s="53">
        <v>0</v>
      </c>
      <c r="W21" s="55">
        <f t="shared" si="9"/>
        <v>4874.0525946681473</v>
      </c>
    </row>
    <row r="22" spans="1:25" x14ac:dyDescent="0.25">
      <c r="A22" s="59" t="s">
        <v>42</v>
      </c>
      <c r="B22" s="49" t="s">
        <v>41</v>
      </c>
      <c r="C22" s="60" t="str">
        <f>'ANALITICO DE PLAZAS'!C15</f>
        <v>ENCARGADO RECURSOS HUMANOS Y AUX CONTABLE</v>
      </c>
      <c r="D22" s="61">
        <v>1</v>
      </c>
      <c r="E22" s="51">
        <f t="shared" si="0"/>
        <v>447.60058046052632</v>
      </c>
      <c r="F22" s="52">
        <f>'ANALITICO DE PLAZAS'!D15</f>
        <v>13607.057645999999</v>
      </c>
      <c r="G22" s="52">
        <f t="shared" si="10"/>
        <v>175.34</v>
      </c>
      <c r="H22" s="52">
        <f t="shared" si="1"/>
        <v>1360.7057646000001</v>
      </c>
      <c r="I22" s="53">
        <f t="shared" si="13"/>
        <v>163284.69175199998</v>
      </c>
      <c r="J22" s="53">
        <f t="shared" si="2"/>
        <v>2104.08</v>
      </c>
      <c r="K22" s="53">
        <f t="shared" si="3"/>
        <v>16328.4691752</v>
      </c>
      <c r="L22" s="53">
        <f t="shared" si="4"/>
        <v>2685.6034827631579</v>
      </c>
      <c r="M22" s="53">
        <f t="shared" si="5"/>
        <v>20142.026120723684</v>
      </c>
      <c r="N22" s="53">
        <f t="shared" si="11"/>
        <v>2685.6034827631579</v>
      </c>
      <c r="O22" s="53">
        <f t="shared" si="6"/>
        <v>20142.026120723684</v>
      </c>
      <c r="P22" s="280">
        <f t="shared" si="7"/>
        <v>1332.9166666666667</v>
      </c>
      <c r="Q22" s="54">
        <f t="shared" si="12"/>
        <v>2530.3333333333335</v>
      </c>
      <c r="R22" s="54">
        <f t="shared" si="8"/>
        <v>1496.1666666666667</v>
      </c>
      <c r="S22" s="331">
        <v>15995</v>
      </c>
      <c r="T22" s="331">
        <v>15182</v>
      </c>
      <c r="U22" s="331">
        <v>8977</v>
      </c>
      <c r="V22" s="63">
        <v>0</v>
      </c>
      <c r="W22" s="55">
        <f t="shared" si="9"/>
        <v>6136.3461159206045</v>
      </c>
      <c r="X22"/>
      <c r="Y22"/>
    </row>
    <row r="23" spans="1:25" x14ac:dyDescent="0.25">
      <c r="A23" s="59" t="s">
        <v>42</v>
      </c>
      <c r="B23" s="49" t="s">
        <v>41</v>
      </c>
      <c r="C23" s="60" t="str">
        <f>'ANALITICO DE PLAZAS'!C14</f>
        <v>ENCARGADO DE DEPARTAMENTO CULTURA DEL AGUA</v>
      </c>
      <c r="D23" s="61">
        <v>1</v>
      </c>
      <c r="E23" s="51">
        <f t="shared" si="0"/>
        <v>447.60058046052632</v>
      </c>
      <c r="F23" s="52">
        <f>'ANALITICO DE PLAZAS'!D14</f>
        <v>13607.057645999999</v>
      </c>
      <c r="G23" s="52">
        <f t="shared" si="10"/>
        <v>175.34</v>
      </c>
      <c r="H23" s="52">
        <f t="shared" si="1"/>
        <v>1360.7057646000001</v>
      </c>
      <c r="I23" s="53">
        <f t="shared" si="13"/>
        <v>163284.69175199998</v>
      </c>
      <c r="J23" s="53">
        <f t="shared" si="2"/>
        <v>2104.08</v>
      </c>
      <c r="K23" s="53">
        <f t="shared" si="3"/>
        <v>16328.4691752</v>
      </c>
      <c r="L23" s="53">
        <f t="shared" si="4"/>
        <v>2685.6034827631579</v>
      </c>
      <c r="M23" s="53">
        <f t="shared" si="5"/>
        <v>20142.026120723684</v>
      </c>
      <c r="N23" s="53">
        <f t="shared" si="11"/>
        <v>2685.6034827631579</v>
      </c>
      <c r="O23" s="53">
        <f t="shared" si="6"/>
        <v>20142.026120723684</v>
      </c>
      <c r="P23" s="280">
        <f t="shared" si="7"/>
        <v>1332.9166666666667</v>
      </c>
      <c r="Q23" s="54">
        <f t="shared" si="12"/>
        <v>2530.3333333333335</v>
      </c>
      <c r="R23" s="54">
        <f t="shared" si="8"/>
        <v>1496.1666666666667</v>
      </c>
      <c r="S23" s="331">
        <v>15995</v>
      </c>
      <c r="T23" s="331">
        <v>15182</v>
      </c>
      <c r="U23" s="331">
        <v>8977</v>
      </c>
      <c r="V23" s="63">
        <v>0</v>
      </c>
      <c r="W23" s="55">
        <f t="shared" si="9"/>
        <v>6136.3461159206045</v>
      </c>
      <c r="X23"/>
      <c r="Y23"/>
    </row>
    <row r="24" spans="1:25" x14ac:dyDescent="0.25">
      <c r="A24" s="59" t="s">
        <v>42</v>
      </c>
      <c r="B24" s="49" t="s">
        <v>41</v>
      </c>
      <c r="C24" s="59" t="str">
        <f>'ANALITICO DE PLAZAS'!C27</f>
        <v>CAJERA</v>
      </c>
      <c r="D24" s="61">
        <v>1</v>
      </c>
      <c r="E24" s="51">
        <f t="shared" si="0"/>
        <v>354.56871810000791</v>
      </c>
      <c r="F24" s="52">
        <f>'ANALITICO DE PLAZAS'!D27</f>
        <v>10778.88903024024</v>
      </c>
      <c r="G24" s="52">
        <f t="shared" si="10"/>
        <v>175.34</v>
      </c>
      <c r="H24" s="52">
        <f t="shared" si="1"/>
        <v>1077.8889030240241</v>
      </c>
      <c r="I24" s="53">
        <f t="shared" si="13"/>
        <v>129346.66836288288</v>
      </c>
      <c r="J24" s="53">
        <f t="shared" si="2"/>
        <v>2104.08</v>
      </c>
      <c r="K24" s="53">
        <f t="shared" si="3"/>
        <v>12934.666836288288</v>
      </c>
      <c r="L24" s="53">
        <f t="shared" si="4"/>
        <v>2127.4123086000477</v>
      </c>
      <c r="M24" s="53">
        <f t="shared" si="5"/>
        <v>15955.592314500356</v>
      </c>
      <c r="N24" s="64">
        <f t="shared" si="11"/>
        <v>2127.4123086000477</v>
      </c>
      <c r="O24" s="64">
        <f t="shared" si="6"/>
        <v>15955.592314500356</v>
      </c>
      <c r="P24" s="280">
        <f t="shared" si="7"/>
        <v>1170</v>
      </c>
      <c r="Q24" s="54">
        <f t="shared" si="12"/>
        <v>1898</v>
      </c>
      <c r="R24" s="54">
        <f t="shared" si="8"/>
        <v>1185.1666666666667</v>
      </c>
      <c r="S24" s="333">
        <v>14040</v>
      </c>
      <c r="T24" s="331">
        <v>11388</v>
      </c>
      <c r="U24" s="332">
        <v>7111</v>
      </c>
      <c r="V24" s="53">
        <v>0</v>
      </c>
      <c r="W24" s="55">
        <f t="shared" si="9"/>
        <v>4874.0525946681473</v>
      </c>
      <c r="X24"/>
      <c r="Y24"/>
    </row>
    <row r="25" spans="1:25" x14ac:dyDescent="0.25">
      <c r="A25" s="59" t="s">
        <v>42</v>
      </c>
      <c r="B25" s="49" t="s">
        <v>41</v>
      </c>
      <c r="C25" s="304" t="str">
        <f>'ANALITICO DE PLAZAS'!C28</f>
        <v>CAPTURISTA DE LECTURAS</v>
      </c>
      <c r="D25" s="61">
        <v>1</v>
      </c>
      <c r="E25" s="51">
        <f t="shared" si="0"/>
        <v>354.56871810000791</v>
      </c>
      <c r="F25" s="52">
        <f>'ANALITICO DE PLAZAS'!D28</f>
        <v>10778.88903024024</v>
      </c>
      <c r="G25" s="52">
        <f t="shared" si="10"/>
        <v>175.34</v>
      </c>
      <c r="H25" s="52">
        <f t="shared" si="1"/>
        <v>1077.8889030240241</v>
      </c>
      <c r="I25" s="53">
        <f t="shared" si="13"/>
        <v>129346.66836288288</v>
      </c>
      <c r="J25" s="53">
        <f t="shared" si="2"/>
        <v>2104.08</v>
      </c>
      <c r="K25" s="53">
        <f t="shared" si="3"/>
        <v>12934.666836288288</v>
      </c>
      <c r="L25" s="53">
        <f t="shared" si="4"/>
        <v>2127.4123086000477</v>
      </c>
      <c r="M25" s="53">
        <f t="shared" si="5"/>
        <v>15955.592314500356</v>
      </c>
      <c r="N25" s="64">
        <f t="shared" si="11"/>
        <v>2127.4123086000477</v>
      </c>
      <c r="O25" s="64">
        <f t="shared" si="6"/>
        <v>15955.592314500356</v>
      </c>
      <c r="P25" s="280">
        <f t="shared" si="7"/>
        <v>1170</v>
      </c>
      <c r="Q25" s="54">
        <f t="shared" si="12"/>
        <v>1898</v>
      </c>
      <c r="R25" s="54">
        <f t="shared" si="8"/>
        <v>1185.1666666666667</v>
      </c>
      <c r="S25" s="331">
        <v>14040</v>
      </c>
      <c r="T25" s="331">
        <v>11388</v>
      </c>
      <c r="U25" s="331">
        <v>7111</v>
      </c>
      <c r="V25" s="57">
        <v>0</v>
      </c>
      <c r="W25" s="55">
        <f t="shared" si="9"/>
        <v>4874.0525946681473</v>
      </c>
      <c r="X25"/>
      <c r="Y25"/>
    </row>
    <row r="26" spans="1:25" x14ac:dyDescent="0.25">
      <c r="A26" s="49" t="s">
        <v>42</v>
      </c>
      <c r="B26" s="49" t="s">
        <v>41</v>
      </c>
      <c r="C26" s="49" t="str">
        <f>'ANALITICO DE PLAZAS'!C20</f>
        <v>LECTURISTA</v>
      </c>
      <c r="D26" s="50">
        <v>2</v>
      </c>
      <c r="E26" s="51">
        <f t="shared" si="0"/>
        <v>380.15284210526318</v>
      </c>
      <c r="F26" s="52">
        <f>'ANALITICO DE PLAZAS'!D20</f>
        <v>11556.6464</v>
      </c>
      <c r="G26" s="52">
        <f t="shared" si="10"/>
        <v>175.34</v>
      </c>
      <c r="H26" s="52">
        <f>F26*0.1</f>
        <v>1155.66464</v>
      </c>
      <c r="I26" s="53">
        <f>+F26*12*D26</f>
        <v>277359.51360000001</v>
      </c>
      <c r="J26" s="53">
        <f t="shared" si="2"/>
        <v>4208.16</v>
      </c>
      <c r="K26" s="53">
        <f>+H26*12*D26</f>
        <v>27735.951359999999</v>
      </c>
      <c r="L26" s="53">
        <f t="shared" si="4"/>
        <v>2280.9170526315788</v>
      </c>
      <c r="M26" s="53">
        <f t="shared" si="5"/>
        <v>17106.877894736845</v>
      </c>
      <c r="N26" s="64">
        <f t="shared" si="11"/>
        <v>4561.8341052631577</v>
      </c>
      <c r="O26" s="64">
        <f t="shared" si="6"/>
        <v>34213.755789473689</v>
      </c>
      <c r="P26" s="280">
        <f t="shared" si="7"/>
        <v>2199.8333333333335</v>
      </c>
      <c r="Q26" s="54">
        <f t="shared" si="12"/>
        <v>3314.3333333333335</v>
      </c>
      <c r="R26" s="54">
        <f t="shared" si="8"/>
        <v>2103</v>
      </c>
      <c r="S26" s="331">
        <v>26398</v>
      </c>
      <c r="T26" s="331">
        <v>19886</v>
      </c>
      <c r="U26" s="331">
        <v>12618</v>
      </c>
      <c r="V26" s="53">
        <v>0</v>
      </c>
      <c r="W26" s="55">
        <f t="shared" si="9"/>
        <v>10442.376445642105</v>
      </c>
    </row>
    <row r="27" spans="1:25" x14ac:dyDescent="0.25">
      <c r="A27" s="49" t="s">
        <v>42</v>
      </c>
      <c r="B27" s="49" t="s">
        <v>41</v>
      </c>
      <c r="C27" s="49" t="str">
        <f>'ANALITICO DE PLAZAS'!C32</f>
        <v>ENCARGADO DE INFORMATICA</v>
      </c>
      <c r="D27" s="50">
        <v>1</v>
      </c>
      <c r="E27" s="51">
        <f t="shared" si="0"/>
        <v>314.54778105263165</v>
      </c>
      <c r="F27" s="52">
        <f>'ANALITICO DE PLAZAS'!D32</f>
        <v>9562.2525440000009</v>
      </c>
      <c r="G27" s="52">
        <f t="shared" si="10"/>
        <v>175.34</v>
      </c>
      <c r="H27" s="52">
        <f>F27*0.1</f>
        <v>956.22525440000015</v>
      </c>
      <c r="I27" s="53">
        <f>+F27*12*D27</f>
        <v>114747.030528</v>
      </c>
      <c r="J27" s="53">
        <f t="shared" si="2"/>
        <v>2104.08</v>
      </c>
      <c r="K27" s="53">
        <f>+H27*12*D27</f>
        <v>11474.703052800001</v>
      </c>
      <c r="L27" s="53">
        <f t="shared" si="4"/>
        <v>1887.2866863157899</v>
      </c>
      <c r="M27" s="53">
        <f t="shared" si="5"/>
        <v>14154.650147368424</v>
      </c>
      <c r="N27" s="64">
        <f t="shared" si="11"/>
        <v>1887.2866863157899</v>
      </c>
      <c r="O27" s="64">
        <f t="shared" si="6"/>
        <v>14154.650147368424</v>
      </c>
      <c r="P27" s="280">
        <f t="shared" si="7"/>
        <v>1099.9166666666667</v>
      </c>
      <c r="Q27" s="54">
        <v>3789.1546923329674</v>
      </c>
      <c r="R27" s="54">
        <v>3400.710900417067</v>
      </c>
      <c r="S27" s="331">
        <v>13199</v>
      </c>
      <c r="T27" s="331">
        <v>9944</v>
      </c>
      <c r="U27" s="331">
        <v>6309</v>
      </c>
      <c r="V27" s="53">
        <v>0</v>
      </c>
      <c r="W27" s="55">
        <f t="shared" si="9"/>
        <v>4331.0325124345263</v>
      </c>
    </row>
    <row r="28" spans="1:25" x14ac:dyDescent="0.25">
      <c r="A28" s="49" t="s">
        <v>42</v>
      </c>
      <c r="B28" s="49" t="s">
        <v>41</v>
      </c>
      <c r="C28" s="330" t="str">
        <f>'ANALITICO DE PLAZAS'!C36</f>
        <v>AUXILIAR DE DEPARTAMENTO OPERATIVO</v>
      </c>
      <c r="D28" s="50">
        <v>1</v>
      </c>
      <c r="E28" s="51">
        <f t="shared" si="0"/>
        <v>280.35654185965274</v>
      </c>
      <c r="F28" s="52">
        <f>'ANALITICO DE PLAZAS'!D36</f>
        <v>8522.8388725334426</v>
      </c>
      <c r="G28" s="52">
        <f t="shared" si="10"/>
        <v>175.34</v>
      </c>
      <c r="H28" s="52">
        <f t="shared" si="1"/>
        <v>852.28388725334435</v>
      </c>
      <c r="I28" s="53">
        <f t="shared" si="13"/>
        <v>102274.0664704013</v>
      </c>
      <c r="J28" s="53">
        <f t="shared" si="2"/>
        <v>2104.08</v>
      </c>
      <c r="K28" s="53">
        <f t="shared" si="3"/>
        <v>10227.406647040132</v>
      </c>
      <c r="L28" s="53">
        <f t="shared" si="4"/>
        <v>1682.1392511579163</v>
      </c>
      <c r="M28" s="53">
        <f t="shared" si="5"/>
        <v>12616.044383684373</v>
      </c>
      <c r="N28" s="64">
        <f t="shared" si="11"/>
        <v>1682.1392511579163</v>
      </c>
      <c r="O28" s="64">
        <f t="shared" si="6"/>
        <v>12616.044383684373</v>
      </c>
      <c r="P28" s="280">
        <f t="shared" si="7"/>
        <v>1039.75</v>
      </c>
      <c r="Q28" s="54">
        <f t="shared" si="12"/>
        <v>1334.8333333333333</v>
      </c>
      <c r="R28" s="54">
        <f t="shared" si="8"/>
        <v>865.33333333333337</v>
      </c>
      <c r="S28" s="331">
        <v>12477</v>
      </c>
      <c r="T28" s="331">
        <v>8009</v>
      </c>
      <c r="U28" s="331">
        <v>5192</v>
      </c>
      <c r="V28" s="53">
        <v>0</v>
      </c>
      <c r="W28" s="55">
        <f t="shared" si="9"/>
        <v>3867.1121025685115</v>
      </c>
    </row>
    <row r="29" spans="1:25" x14ac:dyDescent="0.25">
      <c r="A29" s="49" t="s">
        <v>42</v>
      </c>
      <c r="B29" s="49" t="s">
        <v>41</v>
      </c>
      <c r="C29" s="49" t="str">
        <f>'ANALITICO DE PLAZAS'!C19</f>
        <v>DEPARTAMENTO DE ALMACEN</v>
      </c>
      <c r="D29" s="50">
        <v>1</v>
      </c>
      <c r="E29" s="51">
        <f t="shared" si="0"/>
        <v>438.90434061157902</v>
      </c>
      <c r="F29" s="52">
        <f>'ANALITICO DE PLAZAS'!D19</f>
        <v>13342.691954592001</v>
      </c>
      <c r="G29" s="52">
        <f t="shared" si="10"/>
        <v>175.34</v>
      </c>
      <c r="H29" s="52">
        <f t="shared" si="1"/>
        <v>1334.2691954592001</v>
      </c>
      <c r="I29" s="53">
        <f t="shared" si="13"/>
        <v>160112.303455104</v>
      </c>
      <c r="J29" s="53">
        <f t="shared" si="2"/>
        <v>2104.08</v>
      </c>
      <c r="K29" s="53">
        <f t="shared" si="3"/>
        <v>16011.230345510401</v>
      </c>
      <c r="L29" s="53">
        <f t="shared" si="4"/>
        <v>2633.426043669474</v>
      </c>
      <c r="M29" s="53">
        <f t="shared" si="5"/>
        <v>19750.695327521054</v>
      </c>
      <c r="N29" s="64">
        <f t="shared" si="11"/>
        <v>2633.426043669474</v>
      </c>
      <c r="O29" s="64">
        <f t="shared" si="6"/>
        <v>19750.695327521054</v>
      </c>
      <c r="P29" s="280">
        <f t="shared" si="7"/>
        <v>1422.4166666666667</v>
      </c>
      <c r="Q29" s="54">
        <f t="shared" si="12"/>
        <v>2481.1666666666665</v>
      </c>
      <c r="R29" s="54">
        <f t="shared" si="8"/>
        <v>1467.1666666666667</v>
      </c>
      <c r="S29" s="331">
        <v>17069</v>
      </c>
      <c r="T29" s="331">
        <v>14887</v>
      </c>
      <c r="U29" s="331">
        <v>8803</v>
      </c>
      <c r="V29" s="53">
        <v>0</v>
      </c>
      <c r="W29" s="55">
        <f>(I29+J29+K29+N29+O29)*$W$9</f>
        <v>6018.3520551541469</v>
      </c>
    </row>
    <row r="30" spans="1:25" x14ac:dyDescent="0.25">
      <c r="A30" s="49" t="s">
        <v>42</v>
      </c>
      <c r="B30" s="49" t="s">
        <v>41</v>
      </c>
      <c r="C30" s="56" t="str">
        <f>'ANALITICO DE PLAZAS'!C38</f>
        <v>AUXILIAR ADMINISTRATIVO DE COMERCIALIZACION</v>
      </c>
      <c r="D30" s="50">
        <v>1</v>
      </c>
      <c r="E30" s="51">
        <f t="shared" si="0"/>
        <v>278.8</v>
      </c>
      <c r="F30" s="52">
        <f>'ANALITICO DE PLAZAS'!D38</f>
        <v>8475.52</v>
      </c>
      <c r="G30" s="52">
        <f t="shared" si="10"/>
        <v>175.34</v>
      </c>
      <c r="H30" s="52">
        <f t="shared" si="1"/>
        <v>847.55200000000013</v>
      </c>
      <c r="I30" s="53">
        <f t="shared" si="13"/>
        <v>101706.24000000001</v>
      </c>
      <c r="J30" s="53">
        <f t="shared" si="2"/>
        <v>2104.08</v>
      </c>
      <c r="K30" s="53">
        <f t="shared" si="3"/>
        <v>10170.624000000002</v>
      </c>
      <c r="L30" s="53">
        <f t="shared" si="4"/>
        <v>1672.8</v>
      </c>
      <c r="M30" s="53">
        <f t="shared" si="5"/>
        <v>12546</v>
      </c>
      <c r="N30" s="64">
        <f t="shared" si="11"/>
        <v>1672.8</v>
      </c>
      <c r="O30" s="64">
        <f t="shared" si="6"/>
        <v>12546</v>
      </c>
      <c r="P30" s="280">
        <f t="shared" si="7"/>
        <v>1332.9166666666667</v>
      </c>
      <c r="Q30" s="54">
        <f t="shared" si="12"/>
        <v>1334.8333333333333</v>
      </c>
      <c r="R30" s="54">
        <f t="shared" si="8"/>
        <v>865.33333333333337</v>
      </c>
      <c r="S30" s="331">
        <v>15995</v>
      </c>
      <c r="T30" s="331">
        <v>8009</v>
      </c>
      <c r="U30" s="331">
        <v>5192</v>
      </c>
      <c r="V30" s="53">
        <v>0</v>
      </c>
      <c r="W30" s="55">
        <f t="shared" si="9"/>
        <v>3845.9923199999998</v>
      </c>
    </row>
    <row r="31" spans="1:25" x14ac:dyDescent="0.25">
      <c r="A31" s="49" t="s">
        <v>42</v>
      </c>
      <c r="B31" s="49" t="s">
        <v>41</v>
      </c>
      <c r="C31" s="49" t="str">
        <f>'ANALITICO DE PLAZAS'!C40</f>
        <v>AUXILIAR DE LIMPIEZA</v>
      </c>
      <c r="D31" s="50">
        <v>2</v>
      </c>
      <c r="E31" s="51">
        <f>+F31/30.4</f>
        <v>278.8</v>
      </c>
      <c r="F31" s="67">
        <f>'ANALITICO DE PLAZAS'!D40</f>
        <v>8475.52</v>
      </c>
      <c r="G31" s="52">
        <f t="shared" si="10"/>
        <v>175.34</v>
      </c>
      <c r="H31" s="52">
        <f t="shared" si="1"/>
        <v>847.55200000000013</v>
      </c>
      <c r="I31" s="53">
        <f t="shared" si="13"/>
        <v>203412.48000000001</v>
      </c>
      <c r="J31" s="53">
        <f t="shared" si="2"/>
        <v>4208.16</v>
      </c>
      <c r="K31" s="53">
        <f t="shared" si="3"/>
        <v>20341.248000000003</v>
      </c>
      <c r="L31" s="53">
        <f t="shared" si="4"/>
        <v>1672.8</v>
      </c>
      <c r="M31" s="53">
        <f t="shared" si="5"/>
        <v>12546</v>
      </c>
      <c r="N31" s="64">
        <f t="shared" si="11"/>
        <v>3345.6</v>
      </c>
      <c r="O31" s="64">
        <f t="shared" si="6"/>
        <v>25092</v>
      </c>
      <c r="P31" s="280">
        <f t="shared" si="7"/>
        <v>2079.5</v>
      </c>
      <c r="Q31" s="54">
        <f t="shared" si="12"/>
        <v>2669.6666666666665</v>
      </c>
      <c r="R31" s="54">
        <f t="shared" si="8"/>
        <v>1730.3333333333333</v>
      </c>
      <c r="S31" s="331">
        <v>24954</v>
      </c>
      <c r="T31" s="331">
        <v>16018</v>
      </c>
      <c r="U31" s="331">
        <v>10382</v>
      </c>
      <c r="V31" s="53">
        <v>0</v>
      </c>
      <c r="W31" s="55">
        <f t="shared" si="9"/>
        <v>7691.9846399999997</v>
      </c>
    </row>
    <row r="32" spans="1:25" ht="15.75" thickBot="1" x14ac:dyDescent="0.3">
      <c r="A32" s="49"/>
      <c r="B32" s="49"/>
      <c r="C32" s="49"/>
      <c r="D32" s="50"/>
      <c r="E32" s="51"/>
      <c r="F32" s="52"/>
      <c r="G32" s="68"/>
      <c r="H32" s="62"/>
      <c r="I32" s="53"/>
      <c r="J32" s="53"/>
      <c r="K32" s="53"/>
      <c r="L32" s="63"/>
      <c r="M32" s="62"/>
      <c r="N32" s="63"/>
      <c r="O32" s="63"/>
      <c r="P32" s="55"/>
      <c r="Q32" s="55"/>
      <c r="R32" s="69"/>
      <c r="S32" s="334"/>
      <c r="T32" s="335"/>
      <c r="U32" s="336"/>
      <c r="V32" s="55"/>
      <c r="W32" s="70"/>
    </row>
    <row r="33" spans="1:26" ht="15.75" thickBot="1" x14ac:dyDescent="0.3">
      <c r="A33" s="49"/>
      <c r="B33" s="49"/>
      <c r="C33" s="49" t="s">
        <v>43</v>
      </c>
      <c r="D33" s="50">
        <f>SUM(D16:D31)</f>
        <v>19</v>
      </c>
      <c r="E33" s="51"/>
      <c r="F33" s="71">
        <f t="shared" ref="F33:U33" si="15">SUM(F16:F31)</f>
        <v>216389.83197565103</v>
      </c>
      <c r="G33" s="71">
        <f t="shared" si="15"/>
        <v>2805.44</v>
      </c>
      <c r="H33" s="71">
        <f t="shared" si="15"/>
        <v>21638.983197565107</v>
      </c>
      <c r="I33" s="339">
        <f t="shared" si="15"/>
        <v>2966410.6488706963</v>
      </c>
      <c r="J33" s="339">
        <f t="shared" si="15"/>
        <v>39977.520000000004</v>
      </c>
      <c r="K33" s="339">
        <f t="shared" si="15"/>
        <v>296641.06488706963</v>
      </c>
      <c r="L33" s="71">
        <f t="shared" si="15"/>
        <v>42708.519468878512</v>
      </c>
      <c r="M33" s="71">
        <f t="shared" si="15"/>
        <v>320313.89601658878</v>
      </c>
      <c r="N33" s="71">
        <f t="shared" si="15"/>
        <v>48789.648830110134</v>
      </c>
      <c r="O33" s="71">
        <f t="shared" si="15"/>
        <v>365922.36622582603</v>
      </c>
      <c r="P33" s="71">
        <f t="shared" si="15"/>
        <v>24966</v>
      </c>
      <c r="Q33" s="71">
        <f t="shared" si="15"/>
        <v>44365.108025666297</v>
      </c>
      <c r="R33" s="72">
        <f t="shared" si="15"/>
        <v>28214.877567083731</v>
      </c>
      <c r="S33" s="337">
        <f>SUM(S16:S31)</f>
        <v>299592</v>
      </c>
      <c r="T33" s="338">
        <f t="shared" si="15"/>
        <v>253399.72</v>
      </c>
      <c r="U33" s="339">
        <f t="shared" si="15"/>
        <v>155194</v>
      </c>
      <c r="V33" s="71">
        <f>SUM(V16:V32)</f>
        <v>0</v>
      </c>
      <c r="W33" s="71">
        <f>SUM(W16:W31)</f>
        <v>111532.23746441102</v>
      </c>
    </row>
    <row r="34" spans="1:26" ht="15.75" thickTop="1" x14ac:dyDescent="0.25">
      <c r="A34" s="73"/>
      <c r="B34" s="44">
        <v>6</v>
      </c>
      <c r="C34" s="73"/>
      <c r="D34" s="74"/>
      <c r="E34" s="51"/>
      <c r="F34" s="52"/>
      <c r="G34" s="68"/>
      <c r="H34" s="62"/>
      <c r="I34" s="53"/>
      <c r="J34" s="53"/>
      <c r="K34" s="53"/>
      <c r="L34" s="62"/>
      <c r="M34" s="62"/>
      <c r="N34" s="62"/>
      <c r="O34" s="62"/>
      <c r="P34" s="70"/>
      <c r="Q34" s="70"/>
      <c r="R34" s="70"/>
      <c r="S34" s="340"/>
      <c r="T34" s="340"/>
      <c r="U34" s="340"/>
      <c r="V34" s="70"/>
      <c r="W34" s="70"/>
    </row>
    <row r="35" spans="1:26" x14ac:dyDescent="0.25">
      <c r="A35" s="49" t="s">
        <v>42</v>
      </c>
      <c r="B35" s="49" t="s">
        <v>6</v>
      </c>
      <c r="C35" s="56" t="str">
        <f>'ANALITICO DE PLAZAS'!C13</f>
        <v>JEFE DE DEPARTAMENTO OPERATIVO (PTAR)</v>
      </c>
      <c r="D35" s="50">
        <v>1</v>
      </c>
      <c r="E35" s="51">
        <f t="shared" ref="E35:E39" si="16">+F35/30.4</f>
        <v>576.62635007034487</v>
      </c>
      <c r="F35" s="52">
        <f>'ANALITICO DE PLAZAS'!D13</f>
        <v>17529.441042138482</v>
      </c>
      <c r="G35" s="52">
        <f>87.67*2</f>
        <v>175.34</v>
      </c>
      <c r="H35" s="52">
        <f t="shared" ref="H35:H40" si="17">F35*0.1</f>
        <v>1752.9441042138483</v>
      </c>
      <c r="I35" s="53">
        <f t="shared" ref="I35:I40" si="18">+F35*12*D35</f>
        <v>210353.29250566178</v>
      </c>
      <c r="J35" s="53">
        <f t="shared" ref="J35:J40" si="19">G35*D35*12</f>
        <v>2104.08</v>
      </c>
      <c r="K35" s="53">
        <f t="shared" ref="K35:K40" si="20">+H35*12*D35</f>
        <v>21035.329250566181</v>
      </c>
      <c r="L35" s="53">
        <f t="shared" ref="L35:L40" si="21">E35*20*30%</f>
        <v>3459.7581004220692</v>
      </c>
      <c r="M35" s="53">
        <f t="shared" ref="M35:M40" si="22">E35*45</f>
        <v>25948.185753165519</v>
      </c>
      <c r="N35" s="53">
        <f t="shared" ref="N35:N40" si="23">L35*D35</f>
        <v>3459.7581004220692</v>
      </c>
      <c r="O35" s="53">
        <f t="shared" ref="O35:O40" si="24">M35*D35</f>
        <v>25948.185753165519</v>
      </c>
      <c r="P35" s="53">
        <f>S35/12</f>
        <v>1638.6666666666667</v>
      </c>
      <c r="Q35" s="53">
        <f>T35/6</f>
        <v>3259.3333333333335</v>
      </c>
      <c r="R35" s="53">
        <f>U35/6</f>
        <v>1927.3333333333333</v>
      </c>
      <c r="S35" s="331">
        <v>19664</v>
      </c>
      <c r="T35" s="331">
        <v>19556</v>
      </c>
      <c r="U35" s="332">
        <v>11564</v>
      </c>
      <c r="V35" s="53"/>
      <c r="W35" s="55">
        <f t="shared" ref="W35:W40" si="25">(I35+J35+K35+N35+O35)*$W$9</f>
        <v>7887.0193682944664</v>
      </c>
    </row>
    <row r="36" spans="1:26" x14ac:dyDescent="0.25">
      <c r="A36" s="49" t="s">
        <v>42</v>
      </c>
      <c r="B36" s="49" t="s">
        <v>6</v>
      </c>
      <c r="C36" s="49" t="str">
        <f>'ANALITICO DE PLAZAS'!C9</f>
        <v>COORDINADOR DE FONTANERIA</v>
      </c>
      <c r="D36" s="50">
        <v>1</v>
      </c>
      <c r="E36" s="51">
        <f t="shared" si="16"/>
        <v>686.84309071667781</v>
      </c>
      <c r="F36" s="52">
        <f>'ANALITICO DE PLAZAS'!D9</f>
        <v>20880.029957787003</v>
      </c>
      <c r="G36" s="52">
        <f>97.57*2</f>
        <v>195.14</v>
      </c>
      <c r="H36" s="52">
        <f t="shared" si="17"/>
        <v>2088.0029957787006</v>
      </c>
      <c r="I36" s="53">
        <f t="shared" si="18"/>
        <v>250560.35949344403</v>
      </c>
      <c r="J36" s="53">
        <f t="shared" si="19"/>
        <v>2341.6799999999998</v>
      </c>
      <c r="K36" s="53">
        <f t="shared" si="20"/>
        <v>25056.035949344405</v>
      </c>
      <c r="L36" s="66">
        <f t="shared" si="21"/>
        <v>4121.0585443000664</v>
      </c>
      <c r="M36" s="68">
        <f t="shared" si="22"/>
        <v>30907.939082250501</v>
      </c>
      <c r="N36" s="66">
        <f t="shared" si="23"/>
        <v>4121.0585443000664</v>
      </c>
      <c r="O36" s="66">
        <f t="shared" si="24"/>
        <v>30907.939082250501</v>
      </c>
      <c r="P36" s="53">
        <f t="shared" ref="P36:P40" si="26">S36/12</f>
        <v>1751.8333333333333</v>
      </c>
      <c r="Q36" s="53">
        <f t="shared" ref="Q36:Q39" si="27">T36/6</f>
        <v>3882.6666666666665</v>
      </c>
      <c r="R36" s="53">
        <f t="shared" ref="R36:R40" si="28">U36/6</f>
        <v>2295.8333333333335</v>
      </c>
      <c r="S36" s="331">
        <v>21022</v>
      </c>
      <c r="T36" s="331">
        <v>23296</v>
      </c>
      <c r="U36" s="331">
        <v>13775</v>
      </c>
      <c r="V36" s="54">
        <v>0</v>
      </c>
      <c r="W36" s="55">
        <f t="shared" si="25"/>
        <v>9389.6121920801706</v>
      </c>
    </row>
    <row r="37" spans="1:26" x14ac:dyDescent="0.25">
      <c r="A37" s="59" t="s">
        <v>42</v>
      </c>
      <c r="B37" s="59" t="s">
        <v>6</v>
      </c>
      <c r="C37" s="59" t="str">
        <f>'ANALITICO DE PLAZAS'!C16</f>
        <v>SUPERVISOR DE FONTANERIA</v>
      </c>
      <c r="D37" s="61">
        <v>1</v>
      </c>
      <c r="E37" s="51">
        <f t="shared" si="16"/>
        <v>445.75817121409739</v>
      </c>
      <c r="F37" s="52">
        <f>'ANALITICO DE PLAZAS'!D16</f>
        <v>13551.048404908561</v>
      </c>
      <c r="G37" s="52">
        <f>97.57*2</f>
        <v>195.14</v>
      </c>
      <c r="H37" s="52">
        <f t="shared" si="17"/>
        <v>1355.1048404908561</v>
      </c>
      <c r="I37" s="53">
        <f t="shared" si="18"/>
        <v>162612.58085890271</v>
      </c>
      <c r="J37" s="53">
        <f t="shared" si="19"/>
        <v>2341.6799999999998</v>
      </c>
      <c r="K37" s="53">
        <f t="shared" si="20"/>
        <v>16261.258085890273</v>
      </c>
      <c r="L37" s="66">
        <f t="shared" si="21"/>
        <v>2674.5490272845841</v>
      </c>
      <c r="M37" s="68">
        <f t="shared" si="22"/>
        <v>20059.117704634384</v>
      </c>
      <c r="N37" s="66">
        <f t="shared" si="23"/>
        <v>2674.5490272845841</v>
      </c>
      <c r="O37" s="66">
        <f t="shared" si="24"/>
        <v>20059.117704634384</v>
      </c>
      <c r="P37" s="53">
        <f t="shared" si="26"/>
        <v>1329.5833333333333</v>
      </c>
      <c r="Q37" s="53">
        <f t="shared" si="27"/>
        <v>2519.8333333333335</v>
      </c>
      <c r="R37" s="53">
        <f t="shared" si="28"/>
        <v>1490</v>
      </c>
      <c r="S37" s="341">
        <v>15955</v>
      </c>
      <c r="T37" s="341">
        <v>15119</v>
      </c>
      <c r="U37" s="341">
        <v>8940</v>
      </c>
      <c r="V37" s="57">
        <v>0</v>
      </c>
      <c r="W37" s="55">
        <f t="shared" si="25"/>
        <v>6118.4755703013579</v>
      </c>
      <c r="X37"/>
      <c r="Y37"/>
    </row>
    <row r="38" spans="1:26" x14ac:dyDescent="0.25">
      <c r="A38" s="59" t="s">
        <v>42</v>
      </c>
      <c r="B38" s="59" t="s">
        <v>6</v>
      </c>
      <c r="C38" s="59" t="str">
        <f>'ANALITICO DE PLAZAS'!C22</f>
        <v>OPERADOR DE SERVICIOS DE FONTANERIA</v>
      </c>
      <c r="D38" s="61">
        <v>2</v>
      </c>
      <c r="E38" s="51">
        <f t="shared" si="16"/>
        <v>365.10480947778154</v>
      </c>
      <c r="F38" s="52">
        <f>'ANALITICO DE PLAZAS'!D22</f>
        <v>11099.186208124558</v>
      </c>
      <c r="G38" s="52">
        <f>97.57*2</f>
        <v>195.14</v>
      </c>
      <c r="H38" s="52">
        <f t="shared" si="17"/>
        <v>1109.9186208124559</v>
      </c>
      <c r="I38" s="53">
        <f t="shared" si="18"/>
        <v>266380.46899498941</v>
      </c>
      <c r="J38" s="53">
        <f t="shared" si="19"/>
        <v>4683.3599999999997</v>
      </c>
      <c r="K38" s="53">
        <f t="shared" si="20"/>
        <v>26638.046899498942</v>
      </c>
      <c r="L38" s="66">
        <f t="shared" si="21"/>
        <v>2190.6288568666891</v>
      </c>
      <c r="M38" s="68">
        <f t="shared" si="22"/>
        <v>16429.71642650017</v>
      </c>
      <c r="N38" s="66">
        <f t="shared" si="23"/>
        <v>4381.2577137333783</v>
      </c>
      <c r="O38" s="66">
        <f t="shared" si="24"/>
        <v>32859.43285300034</v>
      </c>
      <c r="P38" s="53">
        <f t="shared" si="26"/>
        <v>2376.8333333333335</v>
      </c>
      <c r="Q38" s="53">
        <f t="shared" si="27"/>
        <v>3908.5</v>
      </c>
      <c r="R38" s="53">
        <f t="shared" si="28"/>
        <v>2500</v>
      </c>
      <c r="S38" s="341">
        <v>28522</v>
      </c>
      <c r="T38" s="341">
        <v>23451</v>
      </c>
      <c r="U38" s="341">
        <v>15000</v>
      </c>
      <c r="V38" s="57">
        <v>0</v>
      </c>
      <c r="W38" s="55">
        <f t="shared" si="25"/>
        <v>10048.276993836662</v>
      </c>
      <c r="X38"/>
      <c r="Y38"/>
    </row>
    <row r="39" spans="1:26" x14ac:dyDescent="0.25">
      <c r="A39" s="59" t="s">
        <v>42</v>
      </c>
      <c r="B39" s="59" t="s">
        <v>6</v>
      </c>
      <c r="C39" s="59" t="str">
        <f>'ANALITICO DE PLAZAS'!C35</f>
        <v>AUXILIAR DE SERVICIOS DE FONTANERIA</v>
      </c>
      <c r="D39" s="61">
        <v>7</v>
      </c>
      <c r="E39" s="51">
        <f t="shared" si="16"/>
        <v>280.35654185965274</v>
      </c>
      <c r="F39" s="52">
        <f>'ANALITICO DE PLAZAS'!D35</f>
        <v>8522.8388725334426</v>
      </c>
      <c r="G39" s="52">
        <f>97.57*2</f>
        <v>195.14</v>
      </c>
      <c r="H39" s="52">
        <f t="shared" si="17"/>
        <v>852.28388725334435</v>
      </c>
      <c r="I39" s="53">
        <f t="shared" si="18"/>
        <v>715918.46529280907</v>
      </c>
      <c r="J39" s="53">
        <f t="shared" si="19"/>
        <v>16391.760000000002</v>
      </c>
      <c r="K39" s="53">
        <f t="shared" si="20"/>
        <v>71591.846529280927</v>
      </c>
      <c r="L39" s="66">
        <f t="shared" si="21"/>
        <v>1682.1392511579163</v>
      </c>
      <c r="M39" s="68">
        <f t="shared" si="22"/>
        <v>12616.044383684373</v>
      </c>
      <c r="N39" s="66">
        <f t="shared" si="23"/>
        <v>11774.974758105414</v>
      </c>
      <c r="O39" s="66">
        <f t="shared" si="24"/>
        <v>88312.31068579061</v>
      </c>
      <c r="P39" s="53">
        <f t="shared" si="26"/>
        <v>7278.25</v>
      </c>
      <c r="Q39" s="53">
        <f t="shared" si="27"/>
        <v>10118.833333333334</v>
      </c>
      <c r="R39" s="53">
        <f t="shared" si="28"/>
        <v>5880</v>
      </c>
      <c r="S39" s="341">
        <v>87339</v>
      </c>
      <c r="T39" s="341">
        <v>60713</v>
      </c>
      <c r="U39" s="341">
        <v>35280</v>
      </c>
      <c r="V39" s="65">
        <v>0</v>
      </c>
      <c r="W39" s="55">
        <f t="shared" si="25"/>
        <v>27119.68071797958</v>
      </c>
      <c r="X39"/>
      <c r="Y39"/>
    </row>
    <row r="40" spans="1:26" x14ac:dyDescent="0.25">
      <c r="A40" s="59" t="s">
        <v>42</v>
      </c>
      <c r="B40" s="59" t="s">
        <v>6</v>
      </c>
      <c r="C40" s="59" t="str">
        <f>'ANALITICO DE PLAZAS'!C33</f>
        <v>OPERADOR DE VEHICULO</v>
      </c>
      <c r="D40" s="61">
        <v>2</v>
      </c>
      <c r="E40" s="51">
        <f>+F40/30.4</f>
        <v>314.54784011368423</v>
      </c>
      <c r="F40" s="310">
        <f>'ANALITICO DE PLAZAS'!D33</f>
        <v>9562.2543394559998</v>
      </c>
      <c r="G40" s="52">
        <f>97.57*2</f>
        <v>195.14</v>
      </c>
      <c r="H40" s="52">
        <f t="shared" si="17"/>
        <v>956.2254339456</v>
      </c>
      <c r="I40" s="53">
        <f t="shared" si="18"/>
        <v>229494.10414694401</v>
      </c>
      <c r="J40" s="53">
        <f t="shared" si="19"/>
        <v>4683.3599999999997</v>
      </c>
      <c r="K40" s="53">
        <f t="shared" si="20"/>
        <v>22949.410414694401</v>
      </c>
      <c r="L40" s="66">
        <f t="shared" si="21"/>
        <v>1887.2870406821053</v>
      </c>
      <c r="M40" s="68">
        <f t="shared" si="22"/>
        <v>14154.652805115791</v>
      </c>
      <c r="N40" s="68">
        <f t="shared" si="23"/>
        <v>3774.5740813642105</v>
      </c>
      <c r="O40" s="68">
        <f t="shared" si="24"/>
        <v>28309.305610231582</v>
      </c>
      <c r="P40" s="53">
        <f t="shared" si="26"/>
        <v>2199.8333333333335</v>
      </c>
      <c r="Q40" s="53">
        <f>T40/6</f>
        <v>3314.5</v>
      </c>
      <c r="R40" s="53">
        <f t="shared" si="28"/>
        <v>2102.8333333333335</v>
      </c>
      <c r="S40" s="341">
        <v>26398</v>
      </c>
      <c r="T40" s="341">
        <v>19887</v>
      </c>
      <c r="U40" s="341">
        <v>12617</v>
      </c>
      <c r="V40" s="65">
        <v>0</v>
      </c>
      <c r="W40" s="55">
        <f t="shared" si="25"/>
        <v>8676.3226275970246</v>
      </c>
      <c r="X40"/>
      <c r="Y40"/>
    </row>
    <row r="41" spans="1:26" x14ac:dyDescent="0.25">
      <c r="A41" s="59"/>
      <c r="B41" s="59"/>
      <c r="C41" s="59"/>
      <c r="D41" s="61"/>
      <c r="E41" s="51"/>
      <c r="F41" s="75"/>
      <c r="G41" s="75"/>
      <c r="H41" s="75"/>
      <c r="I41" s="63"/>
      <c r="J41" s="63"/>
      <c r="K41" s="63"/>
      <c r="L41" s="68"/>
      <c r="M41" s="68"/>
      <c r="N41" s="68"/>
      <c r="O41" s="68"/>
      <c r="P41" s="68"/>
      <c r="Q41" s="68"/>
      <c r="R41" s="68"/>
      <c r="S41" s="342"/>
      <c r="T41" s="342"/>
      <c r="U41" s="342"/>
      <c r="V41" s="68"/>
      <c r="W41" s="63"/>
      <c r="X41" s="76"/>
      <c r="Y41"/>
    </row>
    <row r="42" spans="1:26" ht="15.75" thickBot="1" x14ac:dyDescent="0.3">
      <c r="A42" s="59"/>
      <c r="B42" s="59"/>
      <c r="C42" s="59" t="s">
        <v>43</v>
      </c>
      <c r="D42" s="61">
        <f>SUM(D35:D41)</f>
        <v>14</v>
      </c>
      <c r="E42" s="51"/>
      <c r="F42" s="71">
        <f t="shared" ref="F42:K42" si="29">SUM(F35:F40)</f>
        <v>81144.798824948055</v>
      </c>
      <c r="G42" s="71">
        <f t="shared" si="29"/>
        <v>1151.04</v>
      </c>
      <c r="H42" s="71">
        <f t="shared" si="29"/>
        <v>8114.4798824948057</v>
      </c>
      <c r="I42" s="71">
        <f t="shared" si="29"/>
        <v>1835319.2712927507</v>
      </c>
      <c r="J42" s="71">
        <f t="shared" si="29"/>
        <v>32545.920000000002</v>
      </c>
      <c r="K42" s="71">
        <f t="shared" si="29"/>
        <v>183531.92712927511</v>
      </c>
      <c r="L42" s="71">
        <f t="shared" ref="L42:W42" si="30">SUM(L35:L40)</f>
        <v>16015.420820713431</v>
      </c>
      <c r="M42" s="71">
        <f t="shared" si="30"/>
        <v>120115.65615535073</v>
      </c>
      <c r="N42" s="71">
        <f t="shared" si="30"/>
        <v>30186.172225209724</v>
      </c>
      <c r="O42" s="71">
        <f t="shared" si="30"/>
        <v>226396.29168907294</v>
      </c>
      <c r="P42" s="71">
        <f t="shared" si="30"/>
        <v>16575</v>
      </c>
      <c r="Q42" s="71">
        <f t="shared" si="30"/>
        <v>27003.666666666668</v>
      </c>
      <c r="R42" s="71">
        <f t="shared" si="30"/>
        <v>16196.000000000002</v>
      </c>
      <c r="S42" s="339">
        <f>SUM(S35:S40)</f>
        <v>198900</v>
      </c>
      <c r="T42" s="339">
        <f t="shared" si="30"/>
        <v>162022</v>
      </c>
      <c r="U42" s="339">
        <f t="shared" si="30"/>
        <v>97176</v>
      </c>
      <c r="V42" s="71">
        <f t="shared" si="30"/>
        <v>0</v>
      </c>
      <c r="W42" s="71">
        <f t="shared" si="30"/>
        <v>69239.387470089263</v>
      </c>
    </row>
    <row r="43" spans="1:26" ht="15.75" thickTop="1" x14ac:dyDescent="0.25">
      <c r="A43" s="59"/>
      <c r="B43" s="329">
        <v>6</v>
      </c>
      <c r="C43" s="59"/>
      <c r="D43" s="61"/>
      <c r="E43" s="51"/>
      <c r="F43" s="52"/>
      <c r="G43" s="52"/>
      <c r="H43" s="52"/>
      <c r="I43" s="57"/>
      <c r="J43" s="57"/>
      <c r="K43" s="57"/>
      <c r="L43" s="57"/>
      <c r="M43" s="57"/>
      <c r="N43" s="57"/>
      <c r="O43" s="57"/>
      <c r="P43" s="58"/>
      <c r="Q43" s="58"/>
      <c r="R43" s="58"/>
      <c r="S43" s="341"/>
      <c r="T43" s="341"/>
      <c r="U43" s="341"/>
      <c r="V43" s="58"/>
      <c r="W43" s="58"/>
    </row>
    <row r="44" spans="1:26" x14ac:dyDescent="0.25">
      <c r="A44" s="59" t="s">
        <v>42</v>
      </c>
      <c r="B44" s="59" t="s">
        <v>44</v>
      </c>
      <c r="C44" s="60" t="str">
        <f>'ANALITICO DE PLAZAS'!C29</f>
        <v>ENCARGADO DE PTAR</v>
      </c>
      <c r="D44" s="61">
        <v>1</v>
      </c>
      <c r="E44" s="51">
        <f>+F44/30.4</f>
        <v>354.56887082842115</v>
      </c>
      <c r="F44" s="52">
        <f>'ANALITICO DE PLAZAS'!D29</f>
        <v>10778.893673184002</v>
      </c>
      <c r="G44" s="52">
        <f>97.57*2</f>
        <v>195.14</v>
      </c>
      <c r="H44" s="52">
        <f>F44*0.1</f>
        <v>1077.8893673184002</v>
      </c>
      <c r="I44" s="53">
        <f>+F44*12*D44</f>
        <v>129346.72407820803</v>
      </c>
      <c r="J44" s="53">
        <f>G44*D44*12</f>
        <v>2341.6799999999998</v>
      </c>
      <c r="K44" s="53">
        <f>+H44*12*D44</f>
        <v>12934.672407820803</v>
      </c>
      <c r="L44" s="66">
        <f>E44*20*30%</f>
        <v>2127.4132249705267</v>
      </c>
      <c r="M44" s="68">
        <f>E44*45</f>
        <v>15955.599187278953</v>
      </c>
      <c r="N44" s="66">
        <f>L44*D44</f>
        <v>2127.4132249705267</v>
      </c>
      <c r="O44" s="63">
        <f>M44*D44</f>
        <v>15955.599187278953</v>
      </c>
      <c r="P44" s="65">
        <f>S44/12</f>
        <v>1170</v>
      </c>
      <c r="Q44" s="65">
        <f>T44/6</f>
        <v>1898</v>
      </c>
      <c r="R44" s="65">
        <f>U44/6</f>
        <v>1185</v>
      </c>
      <c r="S44" s="341">
        <v>14040</v>
      </c>
      <c r="T44" s="341">
        <v>11388</v>
      </c>
      <c r="U44" s="341">
        <v>7110</v>
      </c>
      <c r="V44" s="65">
        <v>0</v>
      </c>
      <c r="W44" s="55">
        <f t="shared" ref="W44" si="31">(I44+J44+K44+N44+O44)*$W$9</f>
        <v>4881.182666948348</v>
      </c>
      <c r="Z44" s="343"/>
    </row>
    <row r="45" spans="1:26" x14ac:dyDescent="0.25">
      <c r="A45" s="59" t="s">
        <v>42</v>
      </c>
      <c r="B45" s="59" t="s">
        <v>44</v>
      </c>
      <c r="C45" s="59" t="str">
        <f>'ANALITICO DE PLAZAS'!C37</f>
        <v>OPERADOR DE PTAR</v>
      </c>
      <c r="D45" s="61">
        <v>3</v>
      </c>
      <c r="E45" s="51">
        <f>+F45/30.4</f>
        <v>278.8</v>
      </c>
      <c r="F45" s="52">
        <f>'ANALITICO DE PLAZAS'!D37</f>
        <v>8475.52</v>
      </c>
      <c r="G45" s="52">
        <f>97.57*2</f>
        <v>195.14</v>
      </c>
      <c r="H45" s="52">
        <f>F45*0.1</f>
        <v>847.55200000000013</v>
      </c>
      <c r="I45" s="53">
        <f>+F45*12*D45</f>
        <v>305118.72000000003</v>
      </c>
      <c r="J45" s="53">
        <f>G45*D45*12</f>
        <v>7025.0399999999991</v>
      </c>
      <c r="K45" s="53">
        <f>+H45*12*D45</f>
        <v>30511.872000000003</v>
      </c>
      <c r="L45" s="68">
        <f>E45*20*30%</f>
        <v>1672.8</v>
      </c>
      <c r="M45" s="66">
        <f>E45*45</f>
        <v>12546</v>
      </c>
      <c r="N45" s="66">
        <f>L45*D45</f>
        <v>5018.3999999999996</v>
      </c>
      <c r="O45" s="62">
        <f>M45*D45</f>
        <v>37638</v>
      </c>
      <c r="P45" s="65">
        <f>S45/12</f>
        <v>4159</v>
      </c>
      <c r="Q45" s="65">
        <f>T45/6</f>
        <v>5782</v>
      </c>
      <c r="R45" s="65">
        <f>U45/6</f>
        <v>3748.3333333333335</v>
      </c>
      <c r="S45" s="341">
        <v>49908</v>
      </c>
      <c r="T45" s="341">
        <v>34692</v>
      </c>
      <c r="U45" s="341">
        <v>22490</v>
      </c>
      <c r="V45" s="65">
        <v>0</v>
      </c>
      <c r="W45" s="55">
        <f>(I45+J45+K45+N45+O45)*$W$9</f>
        <v>11559.36096</v>
      </c>
      <c r="Z45" s="343"/>
    </row>
    <row r="46" spans="1:26" x14ac:dyDescent="0.25">
      <c r="A46" s="59"/>
      <c r="B46" s="59"/>
      <c r="C46" s="59"/>
      <c r="D46" s="61"/>
      <c r="E46" s="51"/>
      <c r="F46" s="75"/>
      <c r="G46" s="75"/>
      <c r="H46" s="75"/>
      <c r="I46" s="63"/>
      <c r="J46" s="63"/>
      <c r="K46" s="63"/>
      <c r="L46" s="68"/>
      <c r="M46" s="68"/>
      <c r="N46" s="68"/>
      <c r="O46" s="68"/>
      <c r="P46" s="68"/>
      <c r="Q46" s="68"/>
      <c r="R46" s="68"/>
      <c r="S46" s="342"/>
      <c r="T46" s="342"/>
      <c r="U46" s="342"/>
      <c r="V46" s="68"/>
      <c r="W46" s="68"/>
      <c r="X46" s="77"/>
    </row>
    <row r="47" spans="1:26" ht="15.75" thickBot="1" x14ac:dyDescent="0.3">
      <c r="A47" s="59"/>
      <c r="B47" s="59"/>
      <c r="C47" s="59" t="s">
        <v>43</v>
      </c>
      <c r="D47" s="61">
        <f>SUM(D44:D45)</f>
        <v>4</v>
      </c>
      <c r="E47" s="51"/>
      <c r="F47" s="71">
        <f t="shared" ref="F47:V47" si="32">SUM(F44:F45)</f>
        <v>19254.413673184004</v>
      </c>
      <c r="G47" s="71">
        <f t="shared" si="32"/>
        <v>390.28</v>
      </c>
      <c r="H47" s="71">
        <f t="shared" si="32"/>
        <v>1925.4413673184004</v>
      </c>
      <c r="I47" s="71">
        <f>SUM(I44:I45)</f>
        <v>434465.44407820806</v>
      </c>
      <c r="J47" s="71">
        <f t="shared" si="32"/>
        <v>9366.7199999999993</v>
      </c>
      <c r="K47" s="71">
        <f t="shared" si="32"/>
        <v>43446.544407820809</v>
      </c>
      <c r="L47" s="71">
        <f t="shared" si="32"/>
        <v>3800.2132249705264</v>
      </c>
      <c r="M47" s="71">
        <f t="shared" si="32"/>
        <v>28501.599187278953</v>
      </c>
      <c r="N47" s="71">
        <f t="shared" si="32"/>
        <v>7145.8132249705268</v>
      </c>
      <c r="O47" s="71">
        <f t="shared" si="32"/>
        <v>53593.599187278953</v>
      </c>
      <c r="P47" s="71">
        <f t="shared" si="32"/>
        <v>5329</v>
      </c>
      <c r="Q47" s="71">
        <f t="shared" si="32"/>
        <v>7680</v>
      </c>
      <c r="R47" s="71">
        <f t="shared" si="32"/>
        <v>4933.3333333333339</v>
      </c>
      <c r="S47" s="339">
        <f>SUM(S44:S45)</f>
        <v>63948</v>
      </c>
      <c r="T47" s="339">
        <f t="shared" si="32"/>
        <v>46080</v>
      </c>
      <c r="U47" s="339">
        <f t="shared" si="32"/>
        <v>29600</v>
      </c>
      <c r="V47" s="71">
        <f t="shared" si="32"/>
        <v>0</v>
      </c>
      <c r="W47" s="71">
        <f>SUM(W44:W45)</f>
        <v>16440.543626948347</v>
      </c>
    </row>
    <row r="48" spans="1:26" ht="15.75" thickTop="1" x14ac:dyDescent="0.25">
      <c r="A48" s="59"/>
      <c r="B48" s="59"/>
      <c r="C48" s="59"/>
      <c r="D48" s="61"/>
      <c r="E48" s="51"/>
      <c r="F48" s="52"/>
      <c r="G48" s="68"/>
      <c r="H48" s="62"/>
      <c r="I48" s="62"/>
      <c r="J48" s="62"/>
      <c r="K48" s="57"/>
      <c r="L48" s="62"/>
      <c r="M48" s="62"/>
      <c r="N48" s="62"/>
      <c r="O48" s="62"/>
      <c r="P48" s="70"/>
      <c r="Q48" s="70"/>
      <c r="R48" s="70"/>
      <c r="S48" s="340"/>
      <c r="T48" s="340"/>
      <c r="U48" s="340"/>
      <c r="V48" s="70"/>
      <c r="W48" s="70"/>
    </row>
    <row r="49" spans="1:28" ht="15.75" thickBot="1" x14ac:dyDescent="0.3">
      <c r="A49" s="49"/>
      <c r="B49" s="49"/>
      <c r="C49" s="49" t="s">
        <v>45</v>
      </c>
      <c r="D49" s="50">
        <f>D47+D42+D33</f>
        <v>37</v>
      </c>
      <c r="E49" s="51"/>
      <c r="F49" s="71">
        <f>+F47+F42+F33</f>
        <v>316789.04447378311</v>
      </c>
      <c r="G49" s="71">
        <f t="shared" ref="G49:V49" si="33">+G47+G42+G33</f>
        <v>4346.76</v>
      </c>
      <c r="H49" s="71">
        <f t="shared" si="33"/>
        <v>31678.904447378314</v>
      </c>
      <c r="I49" s="339">
        <f>+I47+I42+I33</f>
        <v>5236195.364241655</v>
      </c>
      <c r="J49" s="339">
        <f>+J47+J42+J33</f>
        <v>81890.16</v>
      </c>
      <c r="K49" s="339">
        <f>+K47+K42+K33</f>
        <v>523619.53642416553</v>
      </c>
      <c r="L49" s="71">
        <f t="shared" si="33"/>
        <v>62524.153514562466</v>
      </c>
      <c r="M49" s="71">
        <f t="shared" si="33"/>
        <v>468931.15135921846</v>
      </c>
      <c r="N49" s="339">
        <f>+N47+N42+N33</f>
        <v>86121.634280290382</v>
      </c>
      <c r="O49" s="339">
        <f>+O47+O42+O33</f>
        <v>645912.25710217794</v>
      </c>
      <c r="P49" s="71">
        <f t="shared" si="33"/>
        <v>46870</v>
      </c>
      <c r="Q49" s="71">
        <f t="shared" si="33"/>
        <v>79048.774692332969</v>
      </c>
      <c r="R49" s="71">
        <f t="shared" si="33"/>
        <v>49344.210900417063</v>
      </c>
      <c r="S49" s="339">
        <f t="shared" si="33"/>
        <v>562440</v>
      </c>
      <c r="T49" s="339">
        <f t="shared" si="33"/>
        <v>461501.72</v>
      </c>
      <c r="U49" s="339">
        <f t="shared" si="33"/>
        <v>281970</v>
      </c>
      <c r="V49" s="71">
        <f t="shared" si="33"/>
        <v>0</v>
      </c>
      <c r="W49" s="339">
        <f>+W47+W42+W33</f>
        <v>197212.16856144863</v>
      </c>
      <c r="Z49" s="89"/>
      <c r="AB49" s="149"/>
    </row>
    <row r="50" spans="1:28" ht="15.75" thickTop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28" x14ac:dyDescent="0.25">
      <c r="A51"/>
      <c r="B51"/>
      <c r="C51"/>
      <c r="D51"/>
      <c r="E51"/>
      <c r="F51" s="434" t="s">
        <v>46</v>
      </c>
      <c r="G51" s="434"/>
      <c r="H51" s="434"/>
      <c r="I51" s="434"/>
      <c r="J51" s="434"/>
      <c r="K51" s="434"/>
      <c r="L51" s="434"/>
      <c r="M51" s="434"/>
      <c r="N51" s="434"/>
      <c r="O51" s="434"/>
      <c r="P51" s="434"/>
      <c r="Q51" s="434"/>
      <c r="R51" s="434"/>
      <c r="S51" s="434"/>
      <c r="T51" s="434"/>
    </row>
    <row r="52" spans="1:28" x14ac:dyDescent="0.25">
      <c r="A52"/>
      <c r="B52"/>
      <c r="C52"/>
      <c r="D52"/>
      <c r="E52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/>
      <c r="W52" s="142"/>
      <c r="Z52" s="159"/>
      <c r="AB52" s="89"/>
    </row>
    <row r="53" spans="1:28" x14ac:dyDescent="0.25">
      <c r="A53"/>
      <c r="B53"/>
      <c r="C53"/>
      <c r="D53"/>
      <c r="E53"/>
      <c r="F53" s="78"/>
      <c r="G53" s="78"/>
      <c r="H53" s="78"/>
      <c r="I53" s="78"/>
      <c r="J53" s="78"/>
      <c r="K53" s="78"/>
      <c r="L53" s="78"/>
      <c r="M53" s="79"/>
      <c r="N53" s="78"/>
      <c r="O53" s="78"/>
      <c r="P53" s="78"/>
      <c r="Q53" s="78"/>
      <c r="R53" s="78"/>
      <c r="S53" s="78"/>
      <c r="T53" s="98"/>
      <c r="W53" s="80"/>
    </row>
    <row r="54" spans="1:28" x14ac:dyDescent="0.25">
      <c r="A54"/>
      <c r="B54"/>
      <c r="C54"/>
      <c r="D54"/>
      <c r="E54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W54" s="81"/>
      <c r="Z54" s="82"/>
    </row>
    <row r="55" spans="1:28" x14ac:dyDescent="0.25">
      <c r="A55"/>
      <c r="B55"/>
      <c r="C55"/>
      <c r="D55"/>
      <c r="E55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</row>
    <row r="56" spans="1:28" x14ac:dyDescent="0.25">
      <c r="A56"/>
      <c r="B56"/>
      <c r="C56"/>
      <c r="D56"/>
      <c r="E56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</row>
    <row r="57" spans="1:28" ht="15.75" x14ac:dyDescent="0.25">
      <c r="A57"/>
      <c r="B57" s="83"/>
      <c r="C57"/>
      <c r="D57"/>
      <c r="E57"/>
      <c r="F57"/>
      <c r="G57"/>
      <c r="H57"/>
      <c r="I57"/>
      <c r="J57"/>
      <c r="K57"/>
      <c r="L57" s="84"/>
      <c r="M57" s="85"/>
      <c r="N57" s="84"/>
      <c r="O57" s="86"/>
      <c r="P57" s="86"/>
      <c r="Q57" s="86"/>
      <c r="R57" s="86"/>
      <c r="S57" s="86"/>
      <c r="T57" s="87"/>
      <c r="U57" s="87"/>
      <c r="V57" s="88"/>
    </row>
    <row r="58" spans="1:28" ht="15.75" x14ac:dyDescent="0.25">
      <c r="A58"/>
      <c r="B58" s="434"/>
      <c r="C58" s="434"/>
      <c r="D58" s="434"/>
      <c r="E58" s="434"/>
      <c r="F58" s="434"/>
      <c r="G58" s="434"/>
      <c r="H58" s="434"/>
      <c r="I58" s="434"/>
      <c r="J58" s="434"/>
      <c r="K58" s="434"/>
      <c r="L58" s="434"/>
      <c r="M58" s="84"/>
      <c r="N58" s="84"/>
      <c r="O58" s="84"/>
      <c r="P58" s="84"/>
      <c r="Q58" s="84"/>
      <c r="R58" s="84"/>
      <c r="S58" s="84"/>
      <c r="T58" s="88"/>
      <c r="U58" s="87"/>
      <c r="V58" s="88"/>
    </row>
    <row r="59" spans="1:28" ht="15.75" x14ac:dyDescent="0.25">
      <c r="A59"/>
      <c r="B59" s="78"/>
      <c r="C59"/>
      <c r="D59"/>
      <c r="E59"/>
      <c r="F59"/>
      <c r="G59"/>
      <c r="H59"/>
      <c r="I59"/>
      <c r="J59"/>
      <c r="K59"/>
      <c r="L59" s="84"/>
      <c r="M59" s="84"/>
      <c r="N59" s="84"/>
      <c r="O59" s="84"/>
      <c r="P59" s="84"/>
      <c r="Q59" s="84"/>
      <c r="R59" s="84"/>
      <c r="S59" s="84"/>
      <c r="T59" s="87"/>
      <c r="U59" s="87"/>
      <c r="V59" s="87"/>
    </row>
    <row r="60" spans="1:28" ht="15.75" x14ac:dyDescent="0.25">
      <c r="A60"/>
      <c r="B60" s="78"/>
      <c r="C60"/>
      <c r="D60"/>
      <c r="E60"/>
      <c r="F60"/>
      <c r="G60"/>
      <c r="H60"/>
      <c r="I60"/>
      <c r="J60"/>
      <c r="K60"/>
      <c r="L60" s="84"/>
      <c r="M60" s="84"/>
      <c r="N60" s="84"/>
      <c r="O60" s="84"/>
      <c r="P60" s="84"/>
      <c r="Q60" s="84"/>
      <c r="R60" s="84"/>
      <c r="S60" s="84"/>
      <c r="T60" s="87"/>
      <c r="U60" s="87"/>
      <c r="V60" s="88"/>
    </row>
    <row r="61" spans="1:28" ht="15.75" x14ac:dyDescent="0.25">
      <c r="A61"/>
      <c r="B61" s="78"/>
      <c r="C61"/>
      <c r="D61"/>
      <c r="E61"/>
      <c r="F61"/>
      <c r="G61"/>
      <c r="H61"/>
      <c r="I61"/>
      <c r="J61"/>
      <c r="K61"/>
      <c r="L61" s="84"/>
      <c r="M61" s="84"/>
      <c r="N61" s="84"/>
      <c r="O61" s="84"/>
      <c r="P61" s="84"/>
      <c r="Q61" s="84"/>
      <c r="R61" s="84"/>
      <c r="S61" s="84"/>
      <c r="T61" s="87"/>
      <c r="U61" s="87"/>
      <c r="V61" s="87"/>
    </row>
    <row r="62" spans="1:28" ht="15.75" x14ac:dyDescent="0.25">
      <c r="A62"/>
      <c r="B62" s="78"/>
      <c r="C62"/>
      <c r="D62"/>
      <c r="E62"/>
      <c r="F62"/>
      <c r="G62"/>
      <c r="H62"/>
      <c r="I62"/>
      <c r="J62"/>
      <c r="K62"/>
      <c r="L62" s="84"/>
      <c r="M62" s="84"/>
      <c r="N62" s="84"/>
      <c r="O62" s="84"/>
      <c r="P62" s="84"/>
      <c r="Q62" s="84"/>
      <c r="R62" s="84"/>
      <c r="S62" s="84"/>
      <c r="T62" s="87"/>
      <c r="U62" s="87"/>
      <c r="V62" s="87"/>
    </row>
    <row r="63" spans="1:28" ht="15.75" x14ac:dyDescent="0.25">
      <c r="A63"/>
      <c r="B63" s="78"/>
      <c r="C63"/>
      <c r="D63"/>
      <c r="E63"/>
      <c r="F63"/>
      <c r="G63"/>
      <c r="H63"/>
      <c r="I63"/>
      <c r="J63"/>
      <c r="K63"/>
      <c r="L63" s="84"/>
      <c r="M63" s="84"/>
      <c r="N63" s="84"/>
      <c r="O63" s="84"/>
      <c r="P63" s="84"/>
      <c r="Q63" s="84"/>
      <c r="R63" s="84"/>
      <c r="S63" s="84"/>
      <c r="T63" s="87"/>
      <c r="U63" s="87"/>
      <c r="V63" s="87"/>
    </row>
    <row r="64" spans="1:28" ht="15.75" x14ac:dyDescent="0.25">
      <c r="A64"/>
      <c r="B64" s="78"/>
      <c r="C64"/>
      <c r="D64"/>
      <c r="E64"/>
      <c r="F64"/>
      <c r="G64"/>
      <c r="H64"/>
      <c r="I64"/>
      <c r="J64"/>
      <c r="K64"/>
      <c r="L64" s="84"/>
      <c r="M64" s="84"/>
      <c r="N64" s="84"/>
      <c r="O64" s="84"/>
      <c r="P64" s="84"/>
      <c r="Q64" s="84"/>
      <c r="R64" s="84"/>
      <c r="S64" s="84"/>
      <c r="T64" s="87"/>
      <c r="U64" s="87"/>
      <c r="V64" s="87"/>
    </row>
    <row r="65" spans="1:22" ht="15.75" x14ac:dyDescent="0.25">
      <c r="A65"/>
      <c r="B65" s="78"/>
      <c r="C65"/>
      <c r="D65"/>
      <c r="E65"/>
      <c r="F65"/>
      <c r="G65"/>
      <c r="H65"/>
      <c r="I65"/>
      <c r="J65"/>
      <c r="K65"/>
      <c r="L65" s="84"/>
      <c r="M65" s="84"/>
      <c r="N65" s="84"/>
      <c r="O65" s="84"/>
      <c r="P65" s="84"/>
      <c r="Q65" s="84"/>
      <c r="R65" s="84"/>
      <c r="S65" s="84"/>
      <c r="T65" s="87"/>
      <c r="U65" s="87"/>
      <c r="V65" s="87"/>
    </row>
    <row r="66" spans="1:22" ht="15.75" x14ac:dyDescent="0.25">
      <c r="A66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4"/>
      <c r="M66" s="84"/>
      <c r="N66" s="84"/>
      <c r="O66" s="84"/>
      <c r="P66" s="84"/>
      <c r="Q66" s="84"/>
      <c r="R66" s="84"/>
      <c r="S66" s="84"/>
      <c r="T66" s="87"/>
      <c r="U66" s="87"/>
      <c r="V66" s="87"/>
    </row>
    <row r="67" spans="1:22" ht="15.75" x14ac:dyDescent="0.25">
      <c r="A6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/>
      <c r="M67"/>
      <c r="N67"/>
      <c r="O67" s="84"/>
      <c r="P67" s="84"/>
      <c r="Q67" s="84"/>
      <c r="R67" s="84"/>
      <c r="S67" s="84"/>
      <c r="T67" s="87"/>
      <c r="U67" s="87"/>
      <c r="V67" s="87"/>
    </row>
    <row r="69" spans="1:22" x14ac:dyDescent="0.25">
      <c r="B69"/>
    </row>
  </sheetData>
  <mergeCells count="29">
    <mergeCell ref="B58:L58"/>
    <mergeCell ref="N10:O10"/>
    <mergeCell ref="Q10:R10"/>
    <mergeCell ref="S10:U10"/>
    <mergeCell ref="V10:W10"/>
    <mergeCell ref="A13:B13"/>
    <mergeCell ref="F51:T51"/>
    <mergeCell ref="C8:T8"/>
    <mergeCell ref="F9:H9"/>
    <mergeCell ref="A10:A11"/>
    <mergeCell ref="B10:B11"/>
    <mergeCell ref="C10:C11"/>
    <mergeCell ref="D10:D11"/>
    <mergeCell ref="E10:E11"/>
    <mergeCell ref="F10:H10"/>
    <mergeCell ref="I10:K10"/>
    <mergeCell ref="L10:M10"/>
    <mergeCell ref="Q7:T7"/>
    <mergeCell ref="C2:I2"/>
    <mergeCell ref="K2:P2"/>
    <mergeCell ref="Q2:T2"/>
    <mergeCell ref="C4:I4"/>
    <mergeCell ref="K4:P4"/>
    <mergeCell ref="Q4:T4"/>
    <mergeCell ref="C5:I5"/>
    <mergeCell ref="K5:L5"/>
    <mergeCell ref="C6:I6"/>
    <mergeCell ref="L6:M6"/>
    <mergeCell ref="K7:P7"/>
  </mergeCells>
  <pageMargins left="0.7" right="0.7" top="0.75" bottom="0.75" header="0.3" footer="0.3"/>
  <pageSetup paperSize="5" scale="51" fitToHeight="0" orientation="landscape" r:id="rId1"/>
  <headerFooter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FF00"/>
    <pageSetUpPr fitToPage="1"/>
  </sheetPr>
  <dimension ref="A1:Z242"/>
  <sheetViews>
    <sheetView zoomScale="90" zoomScaleNormal="90" workbookViewId="0">
      <pane ySplit="5" topLeftCell="A171" activePane="bottomLeft" state="frozen"/>
      <selection activeCell="D1" sqref="D1"/>
      <selection pane="bottomLeft" sqref="A1:W197"/>
    </sheetView>
  </sheetViews>
  <sheetFormatPr baseColWidth="10" defaultRowHeight="15" x14ac:dyDescent="0.25"/>
  <cols>
    <col min="1" max="1" width="5.85546875" customWidth="1"/>
    <col min="2" max="2" width="7.85546875" customWidth="1"/>
    <col min="3" max="3" width="8.5703125" customWidth="1"/>
    <col min="4" max="4" width="12.42578125" customWidth="1"/>
    <col min="5" max="5" width="11.140625" hidden="1" customWidth="1"/>
    <col min="6" max="6" width="7.5703125" customWidth="1"/>
    <col min="7" max="7" width="9.85546875" customWidth="1"/>
    <col min="8" max="8" width="8.85546875" customWidth="1"/>
    <col min="9" max="9" width="73.85546875" customWidth="1"/>
    <col min="10" max="10" width="28.7109375" hidden="1" customWidth="1"/>
    <col min="11" max="11" width="16.42578125" hidden="1" customWidth="1"/>
    <col min="12" max="12" width="14.42578125" hidden="1" customWidth="1"/>
    <col min="13" max="13" width="16" hidden="1" customWidth="1"/>
    <col min="14" max="14" width="23.7109375" hidden="1" customWidth="1"/>
    <col min="15" max="15" width="16.5703125" hidden="1" customWidth="1"/>
    <col min="16" max="16" width="18.28515625" hidden="1" customWidth="1"/>
    <col min="17" max="17" width="19.7109375" hidden="1" customWidth="1"/>
    <col min="18" max="18" width="16" hidden="1" customWidth="1"/>
    <col min="19" max="19" width="14.5703125" hidden="1" customWidth="1"/>
    <col min="20" max="20" width="17.42578125" customWidth="1"/>
    <col min="21" max="21" width="15" customWidth="1"/>
    <col min="22" max="22" width="14.140625" customWidth="1"/>
    <col min="23" max="23" width="17.28515625" customWidth="1"/>
    <col min="25" max="25" width="12.5703125" bestFit="1" customWidth="1"/>
  </cols>
  <sheetData>
    <row r="1" spans="1:23" ht="19.5" customHeight="1" x14ac:dyDescent="0.35">
      <c r="A1" s="441" t="s">
        <v>0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</row>
    <row r="2" spans="1:23" ht="26.25" customHeight="1" x14ac:dyDescent="0.35">
      <c r="A2" s="442" t="s">
        <v>563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  <c r="V2" s="442"/>
      <c r="W2" s="442"/>
    </row>
    <row r="3" spans="1:23" ht="18.75" customHeight="1" x14ac:dyDescent="0.3">
      <c r="A3" s="438"/>
      <c r="B3" s="438"/>
      <c r="C3" s="438"/>
      <c r="D3" s="438"/>
      <c r="E3" s="438"/>
      <c r="F3" s="438"/>
      <c r="G3" s="438"/>
      <c r="H3" s="438"/>
      <c r="I3" s="438"/>
    </row>
    <row r="4" spans="1:23" ht="15.75" x14ac:dyDescent="0.25">
      <c r="A4" s="87"/>
      <c r="B4" s="87"/>
      <c r="C4" s="87"/>
      <c r="D4" s="87"/>
      <c r="E4" s="87"/>
      <c r="F4" s="87"/>
      <c r="G4" s="87"/>
      <c r="H4" s="87"/>
      <c r="I4" s="87"/>
    </row>
    <row r="5" spans="1:23" ht="42.75" customHeight="1" x14ac:dyDescent="0.25">
      <c r="A5" s="116" t="s">
        <v>381</v>
      </c>
      <c r="B5" s="116" t="s">
        <v>382</v>
      </c>
      <c r="C5" s="116" t="s">
        <v>383</v>
      </c>
      <c r="D5" s="116" t="s">
        <v>384</v>
      </c>
      <c r="E5" s="116" t="s">
        <v>385</v>
      </c>
      <c r="F5" s="116" t="s">
        <v>385</v>
      </c>
      <c r="G5" s="116" t="s">
        <v>386</v>
      </c>
      <c r="H5" s="117" t="s">
        <v>149</v>
      </c>
      <c r="I5" s="118" t="s">
        <v>387</v>
      </c>
      <c r="J5" s="216" t="s">
        <v>527</v>
      </c>
      <c r="K5" s="216" t="s">
        <v>528</v>
      </c>
      <c r="L5" s="216" t="s">
        <v>529</v>
      </c>
      <c r="M5" s="216" t="s">
        <v>530</v>
      </c>
      <c r="N5" s="216" t="s">
        <v>538</v>
      </c>
      <c r="O5" s="216" t="s">
        <v>528</v>
      </c>
      <c r="P5" s="216" t="s">
        <v>529</v>
      </c>
      <c r="Q5" s="216" t="s">
        <v>544</v>
      </c>
      <c r="R5" s="216" t="s">
        <v>528</v>
      </c>
      <c r="S5" s="216" t="s">
        <v>529</v>
      </c>
      <c r="T5" s="216" t="s">
        <v>555</v>
      </c>
      <c r="U5" s="216" t="s">
        <v>528</v>
      </c>
      <c r="V5" s="216" t="s">
        <v>558</v>
      </c>
      <c r="W5" s="216" t="s">
        <v>564</v>
      </c>
    </row>
    <row r="6" spans="1:23" ht="15.75" x14ac:dyDescent="0.25">
      <c r="A6" s="152"/>
      <c r="B6" s="234">
        <v>2.1</v>
      </c>
      <c r="C6" s="234"/>
      <c r="D6" s="235"/>
      <c r="E6" s="235"/>
      <c r="F6" s="235"/>
      <c r="G6" s="235"/>
      <c r="H6" s="236"/>
      <c r="I6" s="237" t="s">
        <v>388</v>
      </c>
      <c r="J6" s="238">
        <f>J7</f>
        <v>3468688.4694597269</v>
      </c>
      <c r="K6" s="238">
        <f t="shared" ref="K6:M9" si="0">K7</f>
        <v>1553609.05</v>
      </c>
      <c r="L6" s="238">
        <f t="shared" si="0"/>
        <v>0</v>
      </c>
      <c r="M6" s="238">
        <f t="shared" si="0"/>
        <v>5022297.5194597272</v>
      </c>
      <c r="N6" s="238">
        <v>2824236.0695744362</v>
      </c>
      <c r="O6" s="238">
        <f>O7</f>
        <v>1235402.25</v>
      </c>
      <c r="P6" s="238">
        <f t="shared" ref="P6:W9" si="1">P7</f>
        <v>514500</v>
      </c>
      <c r="Q6" s="238">
        <f t="shared" si="1"/>
        <v>4334949.5767574133</v>
      </c>
      <c r="R6" s="238">
        <f t="shared" si="1"/>
        <v>158109.13477547048</v>
      </c>
      <c r="S6" s="238">
        <f t="shared" si="1"/>
        <v>29456.27</v>
      </c>
      <c r="T6" s="238">
        <f t="shared" si="1"/>
        <v>3019056.1208982784</v>
      </c>
      <c r="U6" s="238">
        <f t="shared" si="1"/>
        <v>2868000</v>
      </c>
      <c r="V6" s="238">
        <f t="shared" si="1"/>
        <v>0</v>
      </c>
      <c r="W6" s="238">
        <f t="shared" si="1"/>
        <v>5887056.1208982784</v>
      </c>
    </row>
    <row r="7" spans="1:23" ht="15.75" x14ac:dyDescent="0.25">
      <c r="A7" s="153"/>
      <c r="B7" s="239"/>
      <c r="C7" s="239" t="s">
        <v>389</v>
      </c>
      <c r="D7" s="164"/>
      <c r="E7" s="164"/>
      <c r="F7" s="164"/>
      <c r="G7" s="164"/>
      <c r="H7" s="170"/>
      <c r="I7" s="240" t="s">
        <v>390</v>
      </c>
      <c r="J7" s="233">
        <f>J8</f>
        <v>3468688.4694597269</v>
      </c>
      <c r="K7" s="233">
        <f t="shared" si="0"/>
        <v>1553609.05</v>
      </c>
      <c r="L7" s="233">
        <f t="shared" si="0"/>
        <v>0</v>
      </c>
      <c r="M7" s="233">
        <f t="shared" si="0"/>
        <v>5022297.5194597272</v>
      </c>
      <c r="N7" s="233">
        <v>2824236.0695744362</v>
      </c>
      <c r="O7" s="233">
        <f>O8</f>
        <v>1235402.25</v>
      </c>
      <c r="P7" s="233">
        <f t="shared" si="1"/>
        <v>514500</v>
      </c>
      <c r="Q7" s="233">
        <f t="shared" si="1"/>
        <v>4334949.5767574133</v>
      </c>
      <c r="R7" s="233">
        <f t="shared" si="1"/>
        <v>158109.13477547048</v>
      </c>
      <c r="S7" s="233">
        <f t="shared" si="1"/>
        <v>29456.27</v>
      </c>
      <c r="T7" s="233">
        <f t="shared" si="1"/>
        <v>3019056.1208982784</v>
      </c>
      <c r="U7" s="233">
        <f t="shared" si="1"/>
        <v>2868000</v>
      </c>
      <c r="V7" s="233">
        <f t="shared" si="1"/>
        <v>0</v>
      </c>
      <c r="W7" s="233">
        <f t="shared" si="1"/>
        <v>5887056.1208982784</v>
      </c>
    </row>
    <row r="8" spans="1:23" ht="15.75" x14ac:dyDescent="0.25">
      <c r="A8" s="241"/>
      <c r="B8" s="241"/>
      <c r="C8" s="241"/>
      <c r="D8" s="242" t="s">
        <v>511</v>
      </c>
      <c r="E8" s="229"/>
      <c r="F8" s="242"/>
      <c r="G8" s="242"/>
      <c r="H8" s="243"/>
      <c r="I8" s="244" t="s">
        <v>438</v>
      </c>
      <c r="J8" s="245">
        <f>J9</f>
        <v>3468688.4694597269</v>
      </c>
      <c r="K8" s="245">
        <f t="shared" si="0"/>
        <v>1553609.05</v>
      </c>
      <c r="L8" s="245">
        <f t="shared" si="0"/>
        <v>0</v>
      </c>
      <c r="M8" s="245">
        <f>M9</f>
        <v>5022297.5194597272</v>
      </c>
      <c r="N8" s="245">
        <v>2824236.0695744362</v>
      </c>
      <c r="O8" s="245">
        <f>O9</f>
        <v>1235402.25</v>
      </c>
      <c r="P8" s="245">
        <f t="shared" si="1"/>
        <v>514500</v>
      </c>
      <c r="Q8" s="245">
        <f t="shared" si="1"/>
        <v>4334949.5767574133</v>
      </c>
      <c r="R8" s="245">
        <f t="shared" si="1"/>
        <v>158109.13477547048</v>
      </c>
      <c r="S8" s="245">
        <f t="shared" si="1"/>
        <v>29456.27</v>
      </c>
      <c r="T8" s="245">
        <f t="shared" si="1"/>
        <v>3019056.1208982784</v>
      </c>
      <c r="U8" s="245">
        <f t="shared" si="1"/>
        <v>2868000</v>
      </c>
      <c r="V8" s="245">
        <f t="shared" si="1"/>
        <v>0</v>
      </c>
      <c r="W8" s="245">
        <f t="shared" si="1"/>
        <v>5887056.1208982784</v>
      </c>
    </row>
    <row r="9" spans="1:23" ht="31.5" x14ac:dyDescent="0.25">
      <c r="A9" s="155"/>
      <c r="B9" s="156"/>
      <c r="C9" s="156"/>
      <c r="D9" s="230"/>
      <c r="E9" s="230" t="s">
        <v>471</v>
      </c>
      <c r="F9" s="230" t="s">
        <v>471</v>
      </c>
      <c r="G9" s="230"/>
      <c r="H9" s="231"/>
      <c r="I9" s="157" t="s">
        <v>537</v>
      </c>
      <c r="J9" s="232">
        <f>J10</f>
        <v>3468688.4694597269</v>
      </c>
      <c r="K9" s="232">
        <f t="shared" si="0"/>
        <v>1553609.05</v>
      </c>
      <c r="L9" s="232">
        <f t="shared" si="0"/>
        <v>0</v>
      </c>
      <c r="M9" s="232">
        <f t="shared" ref="M9" si="2">M10</f>
        <v>5022297.5194597272</v>
      </c>
      <c r="N9" s="232">
        <v>2824236.0695744362</v>
      </c>
      <c r="O9" s="232">
        <f>O10</f>
        <v>1235402.25</v>
      </c>
      <c r="P9" s="232">
        <f t="shared" si="1"/>
        <v>514500</v>
      </c>
      <c r="Q9" s="232">
        <f t="shared" si="1"/>
        <v>4334949.5767574133</v>
      </c>
      <c r="R9" s="232">
        <f t="shared" si="1"/>
        <v>158109.13477547048</v>
      </c>
      <c r="S9" s="232">
        <f t="shared" si="1"/>
        <v>29456.27</v>
      </c>
      <c r="T9" s="232">
        <f t="shared" si="1"/>
        <v>3019056.1208982784</v>
      </c>
      <c r="U9" s="232">
        <f t="shared" si="1"/>
        <v>2868000</v>
      </c>
      <c r="V9" s="232">
        <f t="shared" si="1"/>
        <v>0</v>
      </c>
      <c r="W9" s="232">
        <f t="shared" si="1"/>
        <v>5887056.1208982784</v>
      </c>
    </row>
    <row r="10" spans="1:23" ht="15.75" x14ac:dyDescent="0.25">
      <c r="A10" s="119"/>
      <c r="B10" s="90"/>
      <c r="C10" s="90"/>
      <c r="D10" s="223"/>
      <c r="E10" s="223"/>
      <c r="F10" s="223"/>
      <c r="G10" s="223" t="s">
        <v>516</v>
      </c>
      <c r="H10" s="224"/>
      <c r="I10" s="225" t="s">
        <v>391</v>
      </c>
      <c r="J10" s="226">
        <f>SUM(J11:J45)</f>
        <v>3468688.4694597269</v>
      </c>
      <c r="K10" s="226">
        <f>SUM(K11:K45)</f>
        <v>1553609.05</v>
      </c>
      <c r="L10" s="226">
        <f>SUM(L11:L45)</f>
        <v>0</v>
      </c>
      <c r="M10" s="226">
        <f>SUM(M11:M45)</f>
        <v>5022297.5194597272</v>
      </c>
      <c r="N10" s="226">
        <v>2824236.0695744362</v>
      </c>
      <c r="O10" s="226">
        <f t="shared" ref="O10:T10" si="3">SUM(O11:O45)</f>
        <v>1235402.25</v>
      </c>
      <c r="P10" s="226">
        <f t="shared" si="3"/>
        <v>514500</v>
      </c>
      <c r="Q10" s="226">
        <f t="shared" si="3"/>
        <v>4334949.5767574133</v>
      </c>
      <c r="R10" s="226">
        <f t="shared" si="3"/>
        <v>158109.13477547048</v>
      </c>
      <c r="S10" s="226">
        <f t="shared" si="3"/>
        <v>29456.27</v>
      </c>
      <c r="T10" s="226">
        <f t="shared" si="3"/>
        <v>3019056.1208982784</v>
      </c>
      <c r="U10" s="226">
        <f t="shared" ref="U10:W10" si="4">SUM(U11:U45)</f>
        <v>2868000</v>
      </c>
      <c r="V10" s="226">
        <f t="shared" si="4"/>
        <v>0</v>
      </c>
      <c r="W10" s="226">
        <f t="shared" si="4"/>
        <v>5887056.1208982784</v>
      </c>
    </row>
    <row r="11" spans="1:23" ht="15.75" x14ac:dyDescent="0.25">
      <c r="A11" s="119"/>
      <c r="B11" s="90"/>
      <c r="C11" s="90"/>
      <c r="D11" s="120"/>
      <c r="E11" s="120" t="s">
        <v>471</v>
      </c>
      <c r="F11" s="120" t="s">
        <v>471</v>
      </c>
      <c r="G11" s="120"/>
      <c r="H11" s="121">
        <v>1131</v>
      </c>
      <c r="I11" s="124" t="s">
        <v>52</v>
      </c>
      <c r="J11" s="94">
        <f>'PLANTILLA 2025'!I47</f>
        <v>434465.44407820806</v>
      </c>
      <c r="K11" s="94"/>
      <c r="L11" s="94"/>
      <c r="M11" s="94">
        <f>J11+K11-L11</f>
        <v>434465.44407820806</v>
      </c>
      <c r="N11" s="94">
        <v>458647.89859979996</v>
      </c>
      <c r="O11" s="94"/>
      <c r="P11" s="94"/>
      <c r="Q11" s="94">
        <v>476993.81454379199</v>
      </c>
      <c r="R11" s="94">
        <v>10616.6</v>
      </c>
      <c r="S11" s="94"/>
      <c r="T11" s="94">
        <f>'PLANTILLA 2025'!I47</f>
        <v>434465.44407820806</v>
      </c>
      <c r="U11" s="94"/>
      <c r="V11" s="94"/>
      <c r="W11" s="94">
        <f>'PLANTILLA 2025'!I47</f>
        <v>434465.44407820806</v>
      </c>
    </row>
    <row r="12" spans="1:23" ht="15.75" customHeight="1" x14ac:dyDescent="0.25">
      <c r="A12" s="119"/>
      <c r="B12" s="90"/>
      <c r="C12" s="90"/>
      <c r="D12" s="120"/>
      <c r="E12" s="120" t="s">
        <v>471</v>
      </c>
      <c r="F12" s="120" t="s">
        <v>471</v>
      </c>
      <c r="G12" s="120"/>
      <c r="H12" s="121">
        <v>1221</v>
      </c>
      <c r="I12" s="122" t="s">
        <v>394</v>
      </c>
      <c r="J12" s="94">
        <v>70000</v>
      </c>
      <c r="K12" s="94"/>
      <c r="L12" s="94"/>
      <c r="M12" s="94">
        <f t="shared" ref="M12:M45" si="5">J12+K12-L12</f>
        <v>70000</v>
      </c>
      <c r="N12" s="94">
        <v>40000</v>
      </c>
      <c r="O12" s="94"/>
      <c r="P12" s="94"/>
      <c r="Q12" s="94">
        <v>30000</v>
      </c>
      <c r="R12" s="94"/>
      <c r="S12" s="94"/>
      <c r="T12" s="94">
        <v>30000</v>
      </c>
      <c r="U12" s="94"/>
      <c r="V12" s="94"/>
      <c r="W12" s="94">
        <v>30000</v>
      </c>
    </row>
    <row r="13" spans="1:23" ht="15.75" x14ac:dyDescent="0.25">
      <c r="A13" s="119"/>
      <c r="B13" s="90"/>
      <c r="C13" s="90"/>
      <c r="D13" s="120"/>
      <c r="E13" s="120" t="s">
        <v>471</v>
      </c>
      <c r="F13" s="120" t="s">
        <v>471</v>
      </c>
      <c r="G13" s="120"/>
      <c r="H13" s="121">
        <v>1321</v>
      </c>
      <c r="I13" s="124" t="s">
        <v>395</v>
      </c>
      <c r="J13" s="94">
        <f>'PLANTILLA 2025'!N47</f>
        <v>7145.8132249705268</v>
      </c>
      <c r="K13" s="94"/>
      <c r="L13" s="94"/>
      <c r="M13" s="94">
        <f t="shared" si="5"/>
        <v>7145.8132249705268</v>
      </c>
      <c r="N13" s="94">
        <v>7543.5509638124995</v>
      </c>
      <c r="O13" s="94"/>
      <c r="P13" s="94"/>
      <c r="Q13" s="94">
        <v>7845.2930023649997</v>
      </c>
      <c r="R13" s="94">
        <v>174.62</v>
      </c>
      <c r="S13" s="94"/>
      <c r="T13" s="94">
        <f>'PLANTILLA 2025'!N47</f>
        <v>7145.8132249705268</v>
      </c>
      <c r="U13" s="94"/>
      <c r="V13" s="94"/>
      <c r="W13" s="94">
        <f>'PLANTILLA 2025'!N47</f>
        <v>7145.8132249705268</v>
      </c>
    </row>
    <row r="14" spans="1:23" ht="15.75" x14ac:dyDescent="0.25">
      <c r="A14" s="119"/>
      <c r="B14" s="90"/>
      <c r="C14" s="90"/>
      <c r="D14" s="120"/>
      <c r="E14" s="120" t="s">
        <v>471</v>
      </c>
      <c r="F14" s="120" t="s">
        <v>471</v>
      </c>
      <c r="G14" s="120"/>
      <c r="H14" s="121">
        <v>1323</v>
      </c>
      <c r="I14" s="124" t="s">
        <v>58</v>
      </c>
      <c r="J14" s="94">
        <f>'PLANTILLA 2025'!O47</f>
        <v>53593.599187278953</v>
      </c>
      <c r="K14" s="94"/>
      <c r="L14" s="94"/>
      <c r="M14" s="94">
        <f t="shared" si="5"/>
        <v>53593.599187278953</v>
      </c>
      <c r="N14" s="94">
        <v>56576.632228593742</v>
      </c>
      <c r="O14" s="94"/>
      <c r="P14" s="94"/>
      <c r="Q14" s="94">
        <v>58839.697517737499</v>
      </c>
      <c r="R14" s="94">
        <v>1309.6099999999999</v>
      </c>
      <c r="S14" s="94"/>
      <c r="T14" s="94">
        <f>'PLANTILLA 2025'!O47</f>
        <v>53593.599187278953</v>
      </c>
      <c r="U14" s="94"/>
      <c r="V14" s="94"/>
      <c r="W14" s="94">
        <f>'PLANTILLA 2025'!O47</f>
        <v>53593.599187278953</v>
      </c>
    </row>
    <row r="15" spans="1:23" ht="15.75" x14ac:dyDescent="0.25">
      <c r="A15" s="119"/>
      <c r="B15" s="90"/>
      <c r="C15" s="90"/>
      <c r="D15" s="120"/>
      <c r="E15" s="120" t="s">
        <v>472</v>
      </c>
      <c r="F15" s="120" t="s">
        <v>471</v>
      </c>
      <c r="G15" s="120"/>
      <c r="H15" s="121">
        <v>1413</v>
      </c>
      <c r="I15" s="124" t="s">
        <v>396</v>
      </c>
      <c r="J15" s="94">
        <f>'PLANTILLA 2025'!W49</f>
        <v>197212.16856144863</v>
      </c>
      <c r="K15" s="94"/>
      <c r="L15" s="94"/>
      <c r="M15" s="94">
        <f t="shared" si="5"/>
        <v>197212.16856144863</v>
      </c>
      <c r="N15" s="94">
        <v>53226.909404445672</v>
      </c>
      <c r="O15" s="94"/>
      <c r="P15" s="94"/>
      <c r="Q15" s="94">
        <v>63675.98578062353</v>
      </c>
      <c r="R15" s="94">
        <v>272.01</v>
      </c>
      <c r="S15" s="94"/>
      <c r="T15" s="94">
        <f>'PLANTILLA 2025'!S47</f>
        <v>63948</v>
      </c>
      <c r="U15" s="94"/>
      <c r="V15" s="94"/>
      <c r="W15" s="94">
        <f>'PLANTILLA 2025'!S47</f>
        <v>63948</v>
      </c>
    </row>
    <row r="16" spans="1:23" ht="15.75" x14ac:dyDescent="0.25">
      <c r="A16" s="119"/>
      <c r="B16" s="90"/>
      <c r="C16" s="90"/>
      <c r="D16" s="120"/>
      <c r="E16" s="120" t="s">
        <v>472</v>
      </c>
      <c r="F16" s="120" t="s">
        <v>471</v>
      </c>
      <c r="G16" s="120"/>
      <c r="H16" s="121">
        <v>1421</v>
      </c>
      <c r="I16" s="124" t="s">
        <v>397</v>
      </c>
      <c r="J16" s="94">
        <f>'PLANTILLA 2025'!U47</f>
        <v>29600</v>
      </c>
      <c r="K16" s="94"/>
      <c r="L16" s="94"/>
      <c r="M16" s="94">
        <f t="shared" si="5"/>
        <v>29600</v>
      </c>
      <c r="N16" s="94">
        <v>24025.7395043205</v>
      </c>
      <c r="O16" s="94"/>
      <c r="P16" s="94"/>
      <c r="Q16" s="94">
        <v>34056.265374023336</v>
      </c>
      <c r="R16" s="94"/>
      <c r="S16" s="94">
        <v>4456.2700000000004</v>
      </c>
      <c r="T16" s="94">
        <f>'PLANTILLA 2025'!U47</f>
        <v>29600</v>
      </c>
      <c r="U16" s="94"/>
      <c r="V16" s="94"/>
      <c r="W16" s="94">
        <f>'PLANTILLA 2025'!U47</f>
        <v>29600</v>
      </c>
    </row>
    <row r="17" spans="1:23" ht="15.75" x14ac:dyDescent="0.25">
      <c r="A17" s="119"/>
      <c r="B17" s="90"/>
      <c r="C17" s="90"/>
      <c r="D17" s="120"/>
      <c r="E17" s="120" t="s">
        <v>472</v>
      </c>
      <c r="F17" s="120" t="s">
        <v>471</v>
      </c>
      <c r="G17" s="120"/>
      <c r="H17" s="121">
        <v>1431</v>
      </c>
      <c r="I17" s="124" t="s">
        <v>398</v>
      </c>
      <c r="J17" s="94">
        <f>'PLANTILLA 2025'!T47</f>
        <v>46080</v>
      </c>
      <c r="K17" s="94"/>
      <c r="L17" s="94"/>
      <c r="M17" s="94">
        <f t="shared" si="5"/>
        <v>46080</v>
      </c>
      <c r="N17" s="94">
        <v>24746.409013483972</v>
      </c>
      <c r="O17" s="94"/>
      <c r="P17" s="94"/>
      <c r="Q17" s="94">
        <v>33306.769084493324</v>
      </c>
      <c r="R17" s="94">
        <v>12773.23</v>
      </c>
      <c r="S17" s="94"/>
      <c r="T17" s="94">
        <f>'PLANTILLA 2025'!T47</f>
        <v>46080</v>
      </c>
      <c r="U17" s="94"/>
      <c r="V17" s="94"/>
      <c r="W17" s="94">
        <f>'PLANTILLA 2025'!T47</f>
        <v>46080</v>
      </c>
    </row>
    <row r="18" spans="1:23" ht="15.75" x14ac:dyDescent="0.25">
      <c r="A18" s="119"/>
      <c r="B18" s="90"/>
      <c r="C18" s="90"/>
      <c r="D18" s="120"/>
      <c r="E18" s="120" t="s">
        <v>472</v>
      </c>
      <c r="F18" s="120" t="s">
        <v>471</v>
      </c>
      <c r="G18" s="120"/>
      <c r="H18" s="121">
        <v>1541</v>
      </c>
      <c r="I18" s="124" t="s">
        <v>307</v>
      </c>
      <c r="J18" s="94">
        <f>'PLANTILLA 2025'!J47</f>
        <v>9366.7199999999993</v>
      </c>
      <c r="K18" s="94"/>
      <c r="L18" s="94"/>
      <c r="M18" s="94">
        <f t="shared" si="5"/>
        <v>9366.7199999999993</v>
      </c>
      <c r="N18" s="94">
        <v>11708.4</v>
      </c>
      <c r="O18" s="94"/>
      <c r="P18" s="94"/>
      <c r="Q18" s="94">
        <v>11708.4</v>
      </c>
      <c r="R18" s="94"/>
      <c r="S18" s="94"/>
      <c r="T18" s="94">
        <f>'PLANTILLA 2025'!J47</f>
        <v>9366.7199999999993</v>
      </c>
      <c r="U18" s="94"/>
      <c r="V18" s="94"/>
      <c r="W18" s="94">
        <f>'PLANTILLA 2025'!J47</f>
        <v>9366.7199999999993</v>
      </c>
    </row>
    <row r="19" spans="1:23" ht="15.75" x14ac:dyDescent="0.25">
      <c r="A19" s="119"/>
      <c r="B19" s="90"/>
      <c r="C19" s="90"/>
      <c r="D19" s="120"/>
      <c r="E19" s="120" t="s">
        <v>472</v>
      </c>
      <c r="F19" s="120" t="s">
        <v>471</v>
      </c>
      <c r="G19" s="120"/>
      <c r="H19" s="121">
        <v>1592</v>
      </c>
      <c r="I19" s="124" t="s">
        <v>506</v>
      </c>
      <c r="J19" s="94">
        <f>'PLANTILLA 2025'!K47</f>
        <v>43446.544407820809</v>
      </c>
      <c r="K19" s="94"/>
      <c r="L19" s="94"/>
      <c r="M19" s="94">
        <f t="shared" si="5"/>
        <v>43446.544407820809</v>
      </c>
      <c r="N19" s="94">
        <v>45864.789859979996</v>
      </c>
      <c r="O19" s="94"/>
      <c r="P19" s="94"/>
      <c r="Q19" s="94">
        <v>47699.381454379196</v>
      </c>
      <c r="R19" s="94">
        <v>1061.6600000000001</v>
      </c>
      <c r="S19" s="94"/>
      <c r="T19" s="94">
        <f>'PLANTILLA 2025'!K47</f>
        <v>43446.544407820809</v>
      </c>
      <c r="U19" s="94"/>
      <c r="V19" s="94"/>
      <c r="W19" s="94">
        <f>'PLANTILLA 2025'!K47</f>
        <v>43446.544407820809</v>
      </c>
    </row>
    <row r="20" spans="1:23" ht="15.75" x14ac:dyDescent="0.25">
      <c r="A20" s="119"/>
      <c r="B20" s="90"/>
      <c r="C20" s="90"/>
      <c r="D20" s="120"/>
      <c r="E20" s="120" t="s">
        <v>473</v>
      </c>
      <c r="F20" s="120" t="s">
        <v>471</v>
      </c>
      <c r="G20" s="120"/>
      <c r="H20" s="125">
        <v>2141</v>
      </c>
      <c r="I20" s="124" t="s">
        <v>399</v>
      </c>
      <c r="J20" s="94">
        <v>10000</v>
      </c>
      <c r="K20" s="94"/>
      <c r="L20" s="94"/>
      <c r="M20" s="94">
        <f t="shared" si="5"/>
        <v>10000</v>
      </c>
      <c r="N20" s="94">
        <v>5000</v>
      </c>
      <c r="O20" s="94"/>
      <c r="P20" s="94"/>
      <c r="Q20" s="94">
        <v>5000</v>
      </c>
      <c r="R20" s="94"/>
      <c r="S20" s="94">
        <v>3000</v>
      </c>
      <c r="T20" s="94">
        <v>10</v>
      </c>
      <c r="U20" s="94"/>
      <c r="V20" s="94"/>
      <c r="W20" s="94">
        <v>10</v>
      </c>
    </row>
    <row r="21" spans="1:23" ht="15.75" x14ac:dyDescent="0.25">
      <c r="A21" s="119"/>
      <c r="B21" s="90"/>
      <c r="C21" s="90"/>
      <c r="D21" s="120"/>
      <c r="E21" s="120" t="s">
        <v>473</v>
      </c>
      <c r="F21" s="120" t="s">
        <v>471</v>
      </c>
      <c r="G21" s="120"/>
      <c r="H21" s="121">
        <v>2161</v>
      </c>
      <c r="I21" s="122" t="s">
        <v>72</v>
      </c>
      <c r="J21" s="94">
        <v>12000</v>
      </c>
      <c r="K21" s="94"/>
      <c r="L21" s="94"/>
      <c r="M21" s="94">
        <f t="shared" si="5"/>
        <v>12000</v>
      </c>
      <c r="N21" s="94">
        <v>12000</v>
      </c>
      <c r="O21" s="94"/>
      <c r="P21" s="94"/>
      <c r="Q21" s="94">
        <v>12000</v>
      </c>
      <c r="R21" s="94"/>
      <c r="S21" s="94">
        <v>3000</v>
      </c>
      <c r="T21" s="94">
        <v>9000</v>
      </c>
      <c r="U21" s="94"/>
      <c r="V21" s="94"/>
      <c r="W21" s="94">
        <v>9000</v>
      </c>
    </row>
    <row r="22" spans="1:23" ht="15.75" x14ac:dyDescent="0.25">
      <c r="A22" s="119"/>
      <c r="B22" s="90"/>
      <c r="C22" s="90"/>
      <c r="D22" s="120"/>
      <c r="E22" s="120" t="s">
        <v>473</v>
      </c>
      <c r="F22" s="120" t="s">
        <v>471</v>
      </c>
      <c r="G22" s="120"/>
      <c r="H22" s="121">
        <v>2211</v>
      </c>
      <c r="I22" s="123" t="s">
        <v>75</v>
      </c>
      <c r="J22" s="94">
        <v>2500</v>
      </c>
      <c r="K22" s="94"/>
      <c r="L22" s="94"/>
      <c r="M22" s="94">
        <f t="shared" si="5"/>
        <v>2500</v>
      </c>
      <c r="N22" s="94">
        <v>6100</v>
      </c>
      <c r="O22" s="94"/>
      <c r="P22" s="94"/>
      <c r="Q22" s="94">
        <v>8600</v>
      </c>
      <c r="R22" s="94"/>
      <c r="S22" s="94"/>
      <c r="T22" s="94">
        <v>12600</v>
      </c>
      <c r="U22" s="94"/>
      <c r="V22" s="94"/>
      <c r="W22" s="94">
        <v>12600</v>
      </c>
    </row>
    <row r="23" spans="1:23" ht="15.75" x14ac:dyDescent="0.25">
      <c r="A23" s="119"/>
      <c r="B23" s="90"/>
      <c r="C23" s="90"/>
      <c r="D23" s="120"/>
      <c r="E23" s="120" t="s">
        <v>473</v>
      </c>
      <c r="F23" s="120" t="s">
        <v>471</v>
      </c>
      <c r="G23" s="120"/>
      <c r="H23" s="121">
        <v>2411</v>
      </c>
      <c r="I23" s="123" t="s">
        <v>392</v>
      </c>
      <c r="J23" s="94">
        <v>60000</v>
      </c>
      <c r="K23" s="94"/>
      <c r="L23" s="94"/>
      <c r="M23" s="94">
        <f t="shared" si="5"/>
        <v>60000</v>
      </c>
      <c r="N23" s="94">
        <v>60000</v>
      </c>
      <c r="O23" s="94">
        <v>250000</v>
      </c>
      <c r="P23" s="94"/>
      <c r="Q23" s="94">
        <v>180000</v>
      </c>
      <c r="R23" s="94"/>
      <c r="S23" s="94"/>
      <c r="T23" s="94">
        <v>110000</v>
      </c>
      <c r="U23" s="94"/>
      <c r="V23" s="94"/>
      <c r="W23" s="94">
        <v>110000</v>
      </c>
    </row>
    <row r="24" spans="1:23" ht="15.75" x14ac:dyDescent="0.25">
      <c r="A24" s="119"/>
      <c r="B24" s="90"/>
      <c r="C24" s="90"/>
      <c r="D24" s="120"/>
      <c r="E24" s="120" t="s">
        <v>473</v>
      </c>
      <c r="F24" s="120" t="s">
        <v>471</v>
      </c>
      <c r="G24" s="120"/>
      <c r="H24" s="121">
        <v>2421</v>
      </c>
      <c r="I24" s="123" t="s">
        <v>393</v>
      </c>
      <c r="J24" s="94">
        <v>50000</v>
      </c>
      <c r="K24" s="94"/>
      <c r="L24" s="94"/>
      <c r="M24" s="94">
        <f t="shared" si="5"/>
        <v>50000</v>
      </c>
      <c r="N24" s="94">
        <v>50000</v>
      </c>
      <c r="O24" s="94"/>
      <c r="P24" s="94"/>
      <c r="Q24" s="94">
        <v>60000</v>
      </c>
      <c r="R24" s="94"/>
      <c r="S24" s="94"/>
      <c r="T24" s="94">
        <v>50000</v>
      </c>
      <c r="U24" s="94"/>
      <c r="V24" s="94"/>
      <c r="W24" s="94">
        <v>50000</v>
      </c>
    </row>
    <row r="25" spans="1:23" ht="15.75" x14ac:dyDescent="0.25">
      <c r="A25" s="119"/>
      <c r="B25" s="90"/>
      <c r="C25" s="90"/>
      <c r="D25" s="120"/>
      <c r="E25" s="120" t="s">
        <v>473</v>
      </c>
      <c r="F25" s="120" t="s">
        <v>471</v>
      </c>
      <c r="G25" s="120"/>
      <c r="H25" s="121">
        <v>2491</v>
      </c>
      <c r="I25" s="122" t="s">
        <v>403</v>
      </c>
      <c r="J25" s="94">
        <v>25000</v>
      </c>
      <c r="K25" s="94"/>
      <c r="L25" s="94"/>
      <c r="M25" s="94">
        <f t="shared" si="5"/>
        <v>25000</v>
      </c>
      <c r="N25" s="94">
        <v>60000</v>
      </c>
      <c r="O25" s="94"/>
      <c r="P25" s="94"/>
      <c r="Q25" s="94">
        <v>50000</v>
      </c>
      <c r="R25" s="94"/>
      <c r="S25" s="94"/>
      <c r="T25" s="94">
        <v>65000</v>
      </c>
      <c r="U25" s="94"/>
      <c r="V25" s="94"/>
      <c r="W25" s="94">
        <v>65000</v>
      </c>
    </row>
    <row r="26" spans="1:23" ht="15.75" x14ac:dyDescent="0.25">
      <c r="A26" s="119"/>
      <c r="B26" s="90"/>
      <c r="C26" s="90"/>
      <c r="D26" s="120"/>
      <c r="E26" s="120" t="s">
        <v>473</v>
      </c>
      <c r="F26" s="120" t="s">
        <v>471</v>
      </c>
      <c r="G26" s="120"/>
      <c r="H26" s="121">
        <v>2493</v>
      </c>
      <c r="I26" s="123" t="s">
        <v>81</v>
      </c>
      <c r="J26" s="94">
        <v>80000</v>
      </c>
      <c r="K26" s="94">
        <v>20000</v>
      </c>
      <c r="L26" s="94"/>
      <c r="M26" s="94">
        <f t="shared" si="5"/>
        <v>100000</v>
      </c>
      <c r="N26" s="94">
        <v>170000</v>
      </c>
      <c r="O26" s="94">
        <v>164500</v>
      </c>
      <c r="P26" s="94"/>
      <c r="Q26" s="94">
        <v>280000</v>
      </c>
      <c r="R26" s="94"/>
      <c r="S26" s="94"/>
      <c r="T26" s="94">
        <v>280000</v>
      </c>
      <c r="U26" s="94"/>
      <c r="V26" s="94"/>
      <c r="W26" s="94">
        <v>280000</v>
      </c>
    </row>
    <row r="27" spans="1:23" ht="15.75" x14ac:dyDescent="0.25">
      <c r="A27" s="119"/>
      <c r="B27" s="90"/>
      <c r="C27" s="90"/>
      <c r="D27" s="120"/>
      <c r="E27" s="120" t="s">
        <v>473</v>
      </c>
      <c r="F27" s="120" t="s">
        <v>471</v>
      </c>
      <c r="G27" s="120"/>
      <c r="H27" s="121">
        <v>2531</v>
      </c>
      <c r="I27" s="123" t="s">
        <v>83</v>
      </c>
      <c r="J27" s="94">
        <v>500</v>
      </c>
      <c r="K27" s="94"/>
      <c r="L27" s="94"/>
      <c r="M27" s="94">
        <f t="shared" si="5"/>
        <v>500</v>
      </c>
      <c r="N27" s="94">
        <v>500</v>
      </c>
      <c r="O27" s="94"/>
      <c r="P27" s="94"/>
      <c r="Q27" s="94">
        <v>500</v>
      </c>
      <c r="R27" s="94"/>
      <c r="S27" s="94"/>
      <c r="T27" s="94">
        <v>500</v>
      </c>
      <c r="U27" s="94"/>
      <c r="V27" s="94"/>
      <c r="W27" s="94">
        <v>500</v>
      </c>
    </row>
    <row r="28" spans="1:23" ht="15.75" x14ac:dyDescent="0.25">
      <c r="A28" s="119"/>
      <c r="B28" s="90"/>
      <c r="C28" s="90"/>
      <c r="D28" s="120"/>
      <c r="E28" s="120" t="s">
        <v>473</v>
      </c>
      <c r="F28" s="120" t="s">
        <v>471</v>
      </c>
      <c r="G28" s="120"/>
      <c r="H28" s="121">
        <v>2591</v>
      </c>
      <c r="I28" s="122" t="s">
        <v>435</v>
      </c>
      <c r="J28" s="94">
        <v>65000</v>
      </c>
      <c r="K28" s="94"/>
      <c r="L28" s="94"/>
      <c r="M28" s="94">
        <f t="shared" si="5"/>
        <v>65000</v>
      </c>
      <c r="N28" s="94">
        <v>65000</v>
      </c>
      <c r="O28" s="94"/>
      <c r="P28" s="94"/>
      <c r="Q28" s="94">
        <v>65000</v>
      </c>
      <c r="R28" s="94"/>
      <c r="S28" s="94">
        <v>15000</v>
      </c>
      <c r="T28" s="94">
        <v>61240</v>
      </c>
      <c r="U28" s="94"/>
      <c r="V28" s="94"/>
      <c r="W28" s="94">
        <v>61240</v>
      </c>
    </row>
    <row r="29" spans="1:23" ht="15.75" x14ac:dyDescent="0.25">
      <c r="A29" s="119"/>
      <c r="B29" s="90"/>
      <c r="C29" s="90"/>
      <c r="D29" s="120"/>
      <c r="E29" s="120" t="s">
        <v>473</v>
      </c>
      <c r="F29" s="223" t="s">
        <v>471</v>
      </c>
      <c r="G29" s="223"/>
      <c r="H29" s="269">
        <v>2611</v>
      </c>
      <c r="I29" s="127" t="s">
        <v>436</v>
      </c>
      <c r="J29" s="226">
        <v>149000</v>
      </c>
      <c r="K29" s="226"/>
      <c r="L29" s="226"/>
      <c r="M29" s="94">
        <f t="shared" si="5"/>
        <v>149000</v>
      </c>
      <c r="N29" s="94">
        <v>149000</v>
      </c>
      <c r="O29" s="94"/>
      <c r="P29" s="94"/>
      <c r="Q29" s="94">
        <v>111000</v>
      </c>
      <c r="R29" s="94"/>
      <c r="S29" s="94"/>
      <c r="T29" s="94">
        <v>102000</v>
      </c>
      <c r="U29" s="94"/>
      <c r="V29" s="94"/>
      <c r="W29" s="94">
        <v>102000</v>
      </c>
    </row>
    <row r="30" spans="1:23" ht="15.75" x14ac:dyDescent="0.25">
      <c r="A30" s="119"/>
      <c r="B30" s="90"/>
      <c r="C30" s="90"/>
      <c r="D30" s="120"/>
      <c r="E30" s="120" t="s">
        <v>473</v>
      </c>
      <c r="F30" s="120" t="s">
        <v>471</v>
      </c>
      <c r="G30" s="120"/>
      <c r="H30" s="121">
        <v>2612</v>
      </c>
      <c r="I30" s="122" t="s">
        <v>400</v>
      </c>
      <c r="J30" s="94">
        <v>9000</v>
      </c>
      <c r="K30" s="94"/>
      <c r="L30" s="94"/>
      <c r="M30" s="94">
        <f t="shared" si="5"/>
        <v>9000</v>
      </c>
      <c r="N30" s="94">
        <v>44000</v>
      </c>
      <c r="O30" s="94"/>
      <c r="P30" s="94"/>
      <c r="Q30" s="94">
        <v>24000</v>
      </c>
      <c r="R30" s="94"/>
      <c r="S30" s="94">
        <v>4000</v>
      </c>
      <c r="T30" s="94">
        <v>20000</v>
      </c>
      <c r="U30" s="94"/>
      <c r="V30" s="94"/>
      <c r="W30" s="94">
        <v>20000</v>
      </c>
    </row>
    <row r="31" spans="1:23" ht="15.75" x14ac:dyDescent="0.25">
      <c r="A31" s="119"/>
      <c r="B31" s="90"/>
      <c r="C31" s="90"/>
      <c r="D31" s="120"/>
      <c r="E31" s="120" t="s">
        <v>473</v>
      </c>
      <c r="F31" s="120" t="s">
        <v>471</v>
      </c>
      <c r="G31" s="120"/>
      <c r="H31" s="121">
        <v>2711</v>
      </c>
      <c r="I31" s="122" t="s">
        <v>402</v>
      </c>
      <c r="J31" s="94">
        <v>10000</v>
      </c>
      <c r="K31" s="94"/>
      <c r="L31" s="94"/>
      <c r="M31" s="94">
        <f t="shared" si="5"/>
        <v>10000</v>
      </c>
      <c r="N31" s="94">
        <v>10000</v>
      </c>
      <c r="O31" s="94"/>
      <c r="P31" s="94"/>
      <c r="Q31" s="94">
        <v>10000</v>
      </c>
      <c r="R31" s="94"/>
      <c r="S31" s="94"/>
      <c r="T31" s="94">
        <v>10</v>
      </c>
      <c r="U31" s="94"/>
      <c r="V31" s="94"/>
      <c r="W31" s="94">
        <v>10</v>
      </c>
    </row>
    <row r="32" spans="1:23" ht="15.75" x14ac:dyDescent="0.25">
      <c r="A32" s="119"/>
      <c r="B32" s="90"/>
      <c r="C32" s="90"/>
      <c r="D32" s="120"/>
      <c r="E32" s="120" t="s">
        <v>473</v>
      </c>
      <c r="F32" s="120" t="s">
        <v>471</v>
      </c>
      <c r="G32" s="120"/>
      <c r="H32" s="121">
        <v>2911</v>
      </c>
      <c r="I32" s="122" t="s">
        <v>90</v>
      </c>
      <c r="J32" s="94">
        <v>10000</v>
      </c>
      <c r="K32" s="94"/>
      <c r="L32" s="94"/>
      <c r="M32" s="94">
        <f t="shared" si="5"/>
        <v>10000</v>
      </c>
      <c r="N32" s="94">
        <v>20000</v>
      </c>
      <c r="O32" s="94"/>
      <c r="P32" s="94"/>
      <c r="Q32" s="94">
        <v>20000</v>
      </c>
      <c r="R32" s="94"/>
      <c r="S32" s="94"/>
      <c r="T32" s="94">
        <v>24000</v>
      </c>
      <c r="U32" s="94"/>
      <c r="V32" s="94"/>
      <c r="W32" s="94">
        <v>24000</v>
      </c>
    </row>
    <row r="33" spans="1:24" ht="15.75" x14ac:dyDescent="0.25">
      <c r="A33" s="119"/>
      <c r="B33" s="90"/>
      <c r="C33" s="90"/>
      <c r="D33" s="120"/>
      <c r="E33" s="120" t="s">
        <v>473</v>
      </c>
      <c r="F33" s="120" t="s">
        <v>471</v>
      </c>
      <c r="G33" s="120"/>
      <c r="H33" s="121">
        <v>2961</v>
      </c>
      <c r="I33" s="124" t="s">
        <v>409</v>
      </c>
      <c r="J33" s="94">
        <v>25000</v>
      </c>
      <c r="K33" s="94"/>
      <c r="L33" s="94"/>
      <c r="M33" s="94">
        <f t="shared" si="5"/>
        <v>25000</v>
      </c>
      <c r="N33" s="94">
        <v>32000</v>
      </c>
      <c r="O33" s="94">
        <v>50000</v>
      </c>
      <c r="P33" s="94"/>
      <c r="Q33" s="94">
        <v>82000</v>
      </c>
      <c r="R33" s="94"/>
      <c r="S33" s="94"/>
      <c r="T33" s="94">
        <v>102000</v>
      </c>
      <c r="U33" s="94">
        <v>98000</v>
      </c>
      <c r="V33" s="94"/>
      <c r="W33" s="94">
        <f>T33+U33-V33</f>
        <v>200000</v>
      </c>
      <c r="X33" t="s">
        <v>568</v>
      </c>
    </row>
    <row r="34" spans="1:24" ht="15.75" x14ac:dyDescent="0.25">
      <c r="A34" s="119"/>
      <c r="B34" s="90"/>
      <c r="C34" s="90"/>
      <c r="D34" s="120"/>
      <c r="E34" s="120"/>
      <c r="F34" s="120" t="s">
        <v>471</v>
      </c>
      <c r="G34" s="223"/>
      <c r="H34" s="224">
        <v>3111</v>
      </c>
      <c r="I34" s="122" t="s">
        <v>312</v>
      </c>
      <c r="J34" s="226">
        <v>253631.32</v>
      </c>
      <c r="K34" s="226"/>
      <c r="L34" s="226"/>
      <c r="M34" s="94">
        <f t="shared" si="5"/>
        <v>253631.32</v>
      </c>
      <c r="N34" s="94">
        <v>243631.32</v>
      </c>
      <c r="O34" s="94"/>
      <c r="P34" s="94"/>
      <c r="Q34" s="94">
        <v>250000</v>
      </c>
      <c r="R34" s="94"/>
      <c r="S34" s="94"/>
      <c r="T34" s="94">
        <v>400000</v>
      </c>
      <c r="U34" s="94"/>
      <c r="V34" s="94"/>
      <c r="W34" s="94">
        <v>400000</v>
      </c>
    </row>
    <row r="35" spans="1:24" ht="15.75" x14ac:dyDescent="0.25">
      <c r="A35" s="119"/>
      <c r="B35" s="90"/>
      <c r="C35" s="90"/>
      <c r="D35" s="90"/>
      <c r="E35" s="120" t="s">
        <v>473</v>
      </c>
      <c r="F35" s="120" t="s">
        <v>471</v>
      </c>
      <c r="G35" s="120"/>
      <c r="H35" s="121">
        <v>3261</v>
      </c>
      <c r="I35" s="123" t="s">
        <v>100</v>
      </c>
      <c r="J35" s="94">
        <v>230000</v>
      </c>
      <c r="K35" s="94"/>
      <c r="L35" s="94"/>
      <c r="M35" s="94">
        <f t="shared" si="5"/>
        <v>230000</v>
      </c>
      <c r="N35" s="94">
        <v>110000</v>
      </c>
      <c r="O35" s="94">
        <v>60000</v>
      </c>
      <c r="P35" s="94"/>
      <c r="Q35" s="94">
        <v>170000</v>
      </c>
      <c r="R35" s="94"/>
      <c r="S35" s="94"/>
      <c r="T35" s="94">
        <v>300000</v>
      </c>
      <c r="U35" s="94"/>
      <c r="V35" s="94"/>
      <c r="W35" s="94">
        <v>300000</v>
      </c>
    </row>
    <row r="36" spans="1:24" ht="15.75" x14ac:dyDescent="0.25">
      <c r="A36" s="119"/>
      <c r="B36" s="90"/>
      <c r="C36" s="90"/>
      <c r="D36" s="120"/>
      <c r="E36" s="120" t="s">
        <v>473</v>
      </c>
      <c r="F36" s="120" t="s">
        <v>471</v>
      </c>
      <c r="G36" s="120"/>
      <c r="H36" s="121">
        <v>3391</v>
      </c>
      <c r="I36" s="128" t="s">
        <v>404</v>
      </c>
      <c r="J36" s="94">
        <v>120000</v>
      </c>
      <c r="K36" s="94"/>
      <c r="L36" s="94"/>
      <c r="M36" s="94">
        <f t="shared" si="5"/>
        <v>120000</v>
      </c>
      <c r="N36" s="94">
        <v>120000</v>
      </c>
      <c r="O36" s="94"/>
      <c r="P36" s="94"/>
      <c r="Q36" s="94">
        <v>145000</v>
      </c>
      <c r="R36" s="94"/>
      <c r="S36" s="94"/>
      <c r="T36" s="94">
        <v>215000</v>
      </c>
      <c r="U36" s="94">
        <v>150000</v>
      </c>
      <c r="V36" s="94"/>
      <c r="W36" s="94">
        <f>T36+U36-V36</f>
        <v>365000</v>
      </c>
      <c r="X36" t="s">
        <v>567</v>
      </c>
    </row>
    <row r="37" spans="1:24" ht="15.75" x14ac:dyDescent="0.25">
      <c r="A37" s="119"/>
      <c r="B37" s="90"/>
      <c r="C37" s="90"/>
      <c r="D37" s="120"/>
      <c r="E37" s="120" t="s">
        <v>473</v>
      </c>
      <c r="F37" s="223" t="s">
        <v>471</v>
      </c>
      <c r="G37" s="223"/>
      <c r="H37" s="224">
        <v>3451</v>
      </c>
      <c r="I37" s="128" t="s">
        <v>405</v>
      </c>
      <c r="J37" s="226">
        <v>31600</v>
      </c>
      <c r="K37" s="226"/>
      <c r="L37" s="226"/>
      <c r="M37" s="94">
        <f t="shared" si="5"/>
        <v>31600</v>
      </c>
      <c r="N37" s="94">
        <v>31600</v>
      </c>
      <c r="O37" s="94"/>
      <c r="P37" s="94"/>
      <c r="Q37" s="94">
        <v>20000</v>
      </c>
      <c r="R37" s="94">
        <v>12000</v>
      </c>
      <c r="S37" s="94"/>
      <c r="T37" s="94">
        <v>32000</v>
      </c>
      <c r="U37" s="94">
        <v>50000</v>
      </c>
      <c r="V37" s="94"/>
      <c r="W37" s="94">
        <f>T37+U37-V37</f>
        <v>82000</v>
      </c>
    </row>
    <row r="38" spans="1:24" ht="15.75" x14ac:dyDescent="0.25">
      <c r="A38" s="119"/>
      <c r="B38" s="90"/>
      <c r="C38" s="90"/>
      <c r="D38" s="120"/>
      <c r="E38" s="120" t="s">
        <v>473</v>
      </c>
      <c r="F38" s="223" t="s">
        <v>471</v>
      </c>
      <c r="G38" s="223"/>
      <c r="H38" s="224">
        <v>3511</v>
      </c>
      <c r="I38" s="122" t="s">
        <v>406</v>
      </c>
      <c r="J38" s="226">
        <v>150000</v>
      </c>
      <c r="K38" s="226"/>
      <c r="L38" s="226"/>
      <c r="M38" s="94">
        <f t="shared" si="5"/>
        <v>150000</v>
      </c>
      <c r="N38" s="94">
        <v>220000</v>
      </c>
      <c r="O38" s="94">
        <v>260902.25</v>
      </c>
      <c r="P38" s="94"/>
      <c r="Q38" s="94">
        <v>280000</v>
      </c>
      <c r="R38" s="94"/>
      <c r="S38" s="94"/>
      <c r="T38" s="94">
        <v>140000</v>
      </c>
      <c r="U38" s="94"/>
      <c r="V38" s="94"/>
      <c r="W38" s="94">
        <v>140000</v>
      </c>
    </row>
    <row r="39" spans="1:24" ht="31.5" x14ac:dyDescent="0.25">
      <c r="A39" s="119"/>
      <c r="B39" s="90"/>
      <c r="C39" s="90"/>
      <c r="D39" s="120"/>
      <c r="E39" s="120" t="s">
        <v>473</v>
      </c>
      <c r="F39" s="120" t="s">
        <v>471</v>
      </c>
      <c r="G39" s="158"/>
      <c r="H39" s="121">
        <v>3571</v>
      </c>
      <c r="I39" s="122" t="s">
        <v>407</v>
      </c>
      <c r="J39" s="94">
        <v>130000</v>
      </c>
      <c r="K39" s="94"/>
      <c r="L39" s="94"/>
      <c r="M39" s="94">
        <f t="shared" si="5"/>
        <v>130000</v>
      </c>
      <c r="N39" s="94">
        <v>180000</v>
      </c>
      <c r="O39" s="94"/>
      <c r="P39" s="94">
        <v>80000</v>
      </c>
      <c r="Q39" s="94">
        <v>300000</v>
      </c>
      <c r="R39" s="94"/>
      <c r="S39" s="94"/>
      <c r="T39" s="94">
        <v>300000</v>
      </c>
      <c r="U39" s="94"/>
      <c r="V39" s="94"/>
      <c r="W39" s="94">
        <v>300000</v>
      </c>
    </row>
    <row r="40" spans="1:24" ht="15.75" x14ac:dyDescent="0.25">
      <c r="A40" s="119"/>
      <c r="B40" s="90"/>
      <c r="C40" s="90"/>
      <c r="D40" s="120"/>
      <c r="E40" s="120" t="s">
        <v>473</v>
      </c>
      <c r="F40" s="120" t="s">
        <v>471</v>
      </c>
      <c r="G40" s="120"/>
      <c r="H40" s="130">
        <v>3921</v>
      </c>
      <c r="I40" s="128" t="s">
        <v>121</v>
      </c>
      <c r="J40" s="94">
        <v>500</v>
      </c>
      <c r="K40" s="94">
        <v>3000</v>
      </c>
      <c r="L40" s="94"/>
      <c r="M40" s="94">
        <f t="shared" si="5"/>
        <v>3500</v>
      </c>
      <c r="N40" s="94">
        <v>3500</v>
      </c>
      <c r="O40" s="94"/>
      <c r="P40" s="94"/>
      <c r="Q40" s="94">
        <v>4000</v>
      </c>
      <c r="R40" s="94"/>
      <c r="S40" s="94"/>
      <c r="T40" s="94">
        <v>10</v>
      </c>
      <c r="U40" s="94"/>
      <c r="V40" s="94"/>
      <c r="W40" s="94">
        <v>10</v>
      </c>
    </row>
    <row r="41" spans="1:24" ht="15.75" x14ac:dyDescent="0.25">
      <c r="A41" s="119"/>
      <c r="B41" s="90"/>
      <c r="C41" s="90"/>
      <c r="D41" s="120"/>
      <c r="E41" s="120" t="s">
        <v>473</v>
      </c>
      <c r="F41" s="120" t="s">
        <v>471</v>
      </c>
      <c r="G41" s="120"/>
      <c r="H41" s="121">
        <v>3991</v>
      </c>
      <c r="I41" s="122" t="s">
        <v>120</v>
      </c>
      <c r="J41" s="94">
        <v>5000</v>
      </c>
      <c r="K41" s="94"/>
      <c r="L41" s="94"/>
      <c r="M41" s="94">
        <f t="shared" si="5"/>
        <v>5000</v>
      </c>
      <c r="N41" s="94">
        <v>5000</v>
      </c>
      <c r="O41" s="94"/>
      <c r="P41" s="94"/>
      <c r="Q41" s="94">
        <v>8000</v>
      </c>
      <c r="R41" s="94"/>
      <c r="S41" s="94"/>
      <c r="T41" s="94">
        <v>8000</v>
      </c>
      <c r="U41" s="94"/>
      <c r="V41" s="94"/>
      <c r="W41" s="94">
        <v>8000</v>
      </c>
    </row>
    <row r="42" spans="1:24" ht="15.75" x14ac:dyDescent="0.25">
      <c r="A42" s="119"/>
      <c r="B42" s="90"/>
      <c r="C42" s="90"/>
      <c r="D42" s="120"/>
      <c r="E42" s="120" t="s">
        <v>474</v>
      </c>
      <c r="F42" s="120" t="s">
        <v>471</v>
      </c>
      <c r="G42" s="120"/>
      <c r="H42" s="121">
        <v>5691</v>
      </c>
      <c r="I42" s="122" t="s">
        <v>135</v>
      </c>
      <c r="J42" s="94">
        <v>95000</v>
      </c>
      <c r="K42" s="94"/>
      <c r="L42" s="94"/>
      <c r="M42" s="94">
        <f t="shared" si="5"/>
        <v>95000</v>
      </c>
      <c r="N42" s="94">
        <v>50000</v>
      </c>
      <c r="O42" s="94">
        <v>450000</v>
      </c>
      <c r="P42" s="94"/>
      <c r="Q42" s="94">
        <v>50000</v>
      </c>
      <c r="R42" s="94"/>
      <c r="S42" s="94"/>
      <c r="T42" s="94">
        <v>70000</v>
      </c>
      <c r="U42" s="94"/>
      <c r="V42" s="94"/>
      <c r="W42" s="94">
        <v>70000</v>
      </c>
    </row>
    <row r="43" spans="1:24" ht="15.75" x14ac:dyDescent="0.25">
      <c r="A43" s="266"/>
      <c r="B43" s="267"/>
      <c r="C43" s="267"/>
      <c r="D43" s="264"/>
      <c r="E43" s="264"/>
      <c r="F43" s="264" t="s">
        <v>471</v>
      </c>
      <c r="G43" s="264"/>
      <c r="H43" s="265">
        <v>6141</v>
      </c>
      <c r="I43" s="324" t="s">
        <v>546</v>
      </c>
      <c r="J43" s="268">
        <v>854046.86</v>
      </c>
      <c r="K43" s="268">
        <v>1330609.05</v>
      </c>
      <c r="L43" s="268"/>
      <c r="M43" s="94">
        <f t="shared" si="5"/>
        <v>2184655.91</v>
      </c>
      <c r="N43" s="94">
        <v>134564.42000000001</v>
      </c>
      <c r="O43" s="94"/>
      <c r="P43" s="94">
        <v>134500</v>
      </c>
      <c r="Q43" s="94">
        <v>1433723.97</v>
      </c>
      <c r="R43" s="94">
        <v>119901.4047754705</v>
      </c>
      <c r="S43" s="94"/>
      <c r="T43" s="94">
        <v>20</v>
      </c>
      <c r="U43" s="94">
        <v>2570000</v>
      </c>
      <c r="V43" s="94"/>
      <c r="W43" s="94">
        <f>T43+U43-V43</f>
        <v>2570020</v>
      </c>
      <c r="X43" t="s">
        <v>565</v>
      </c>
    </row>
    <row r="44" spans="1:24" ht="15.75" x14ac:dyDescent="0.25">
      <c r="A44" s="119"/>
      <c r="B44" s="90"/>
      <c r="C44" s="90"/>
      <c r="D44" s="120"/>
      <c r="E44" s="120" t="s">
        <v>475</v>
      </c>
      <c r="F44" s="120" t="s">
        <v>471</v>
      </c>
      <c r="G44" s="120"/>
      <c r="H44" s="121">
        <v>6221</v>
      </c>
      <c r="I44" s="122" t="s">
        <v>140</v>
      </c>
      <c r="J44" s="94">
        <v>0</v>
      </c>
      <c r="K44" s="94"/>
      <c r="L44" s="94"/>
      <c r="M44" s="94">
        <f t="shared" si="5"/>
        <v>0</v>
      </c>
      <c r="N44" s="94">
        <v>20000</v>
      </c>
      <c r="O44" s="94"/>
      <c r="P44" s="94">
        <v>10000</v>
      </c>
      <c r="Q44" s="94">
        <v>1000</v>
      </c>
      <c r="R44" s="94"/>
      <c r="S44" s="94"/>
      <c r="T44" s="94">
        <v>10</v>
      </c>
      <c r="U44" s="94"/>
      <c r="V44" s="94"/>
      <c r="W44" s="94">
        <v>10</v>
      </c>
    </row>
    <row r="45" spans="1:24" ht="15.75" x14ac:dyDescent="0.25">
      <c r="A45" s="119"/>
      <c r="B45" s="90"/>
      <c r="C45" s="90"/>
      <c r="D45" s="120"/>
      <c r="E45" s="120" t="s">
        <v>475</v>
      </c>
      <c r="F45" s="120" t="s">
        <v>471</v>
      </c>
      <c r="G45" s="120"/>
      <c r="H45" s="129">
        <v>6311</v>
      </c>
      <c r="I45" s="122" t="s">
        <v>457</v>
      </c>
      <c r="J45" s="94">
        <v>200000</v>
      </c>
      <c r="K45" s="94">
        <v>200000</v>
      </c>
      <c r="L45" s="94"/>
      <c r="M45" s="94">
        <f t="shared" si="5"/>
        <v>400000</v>
      </c>
      <c r="N45" s="94">
        <v>300000</v>
      </c>
      <c r="O45" s="94"/>
      <c r="P45" s="94">
        <v>290000</v>
      </c>
      <c r="Q45" s="94">
        <v>1000</v>
      </c>
      <c r="R45" s="94"/>
      <c r="S45" s="94"/>
      <c r="T45" s="94">
        <v>10</v>
      </c>
      <c r="U45" s="94"/>
      <c r="V45" s="94"/>
      <c r="W45" s="94">
        <v>10</v>
      </c>
    </row>
    <row r="46" spans="1:24" ht="15.75" x14ac:dyDescent="0.25">
      <c r="A46" s="277"/>
      <c r="B46" s="239"/>
      <c r="C46" s="239"/>
      <c r="D46" s="164"/>
      <c r="E46" s="164"/>
      <c r="F46" s="164"/>
      <c r="G46" s="164"/>
      <c r="H46" s="170"/>
      <c r="I46" s="165" t="s">
        <v>411</v>
      </c>
      <c r="J46" s="227">
        <f>J47</f>
        <v>13846795.704118323</v>
      </c>
      <c r="K46" s="227">
        <f t="shared" ref="K46:O46" si="6">K47</f>
        <v>1029000</v>
      </c>
      <c r="L46" s="227">
        <f t="shared" si="6"/>
        <v>0</v>
      </c>
      <c r="M46" s="227">
        <f t="shared" si="6"/>
        <v>14875795.704118323</v>
      </c>
      <c r="N46" s="227">
        <v>16904825.898021251</v>
      </c>
      <c r="O46" s="227">
        <f t="shared" si="6"/>
        <v>2782013.8950116774</v>
      </c>
      <c r="P46" s="227">
        <f t="shared" ref="P46:W46" si="7">P47</f>
        <v>540000</v>
      </c>
      <c r="Q46" s="227">
        <f t="shared" si="7"/>
        <v>17183907.081737489</v>
      </c>
      <c r="R46" s="227">
        <f t="shared" si="7"/>
        <v>2042333.22</v>
      </c>
      <c r="S46" s="227">
        <f t="shared" si="7"/>
        <v>357890.14</v>
      </c>
      <c r="T46" s="227">
        <f t="shared" si="7"/>
        <v>19380314.80971146</v>
      </c>
      <c r="U46" s="227">
        <f t="shared" si="7"/>
        <v>4328531.2</v>
      </c>
      <c r="V46" s="227">
        <f t="shared" si="7"/>
        <v>0</v>
      </c>
      <c r="W46" s="227">
        <f t="shared" si="7"/>
        <v>23708846.009711459</v>
      </c>
    </row>
    <row r="47" spans="1:24" ht="15.75" x14ac:dyDescent="0.25">
      <c r="A47" s="153"/>
      <c r="B47" s="239"/>
      <c r="C47" s="239" t="s">
        <v>412</v>
      </c>
      <c r="D47" s="164"/>
      <c r="E47" s="154"/>
      <c r="F47" s="164"/>
      <c r="G47" s="164"/>
      <c r="H47" s="170"/>
      <c r="I47" s="165" t="s">
        <v>413</v>
      </c>
      <c r="J47" s="227">
        <f>J48+J54+J102+J116</f>
        <v>13846795.704118323</v>
      </c>
      <c r="K47" s="227">
        <f>K48+K54+K102+K116</f>
        <v>1029000</v>
      </c>
      <c r="L47" s="227">
        <f>L48+L54+L102+L116</f>
        <v>0</v>
      </c>
      <c r="M47" s="227">
        <f>M48+M54+M102+M116</f>
        <v>14875795.704118323</v>
      </c>
      <c r="N47" s="227">
        <v>16904825.898021251</v>
      </c>
      <c r="O47" s="227">
        <f t="shared" ref="O47:T47" si="8">O48+O54+O102+O116</f>
        <v>2782013.8950116774</v>
      </c>
      <c r="P47" s="227">
        <f t="shared" si="8"/>
        <v>540000</v>
      </c>
      <c r="Q47" s="227">
        <f t="shared" si="8"/>
        <v>17183907.081737489</v>
      </c>
      <c r="R47" s="227">
        <f t="shared" si="8"/>
        <v>2042333.22</v>
      </c>
      <c r="S47" s="227">
        <f t="shared" si="8"/>
        <v>357890.14</v>
      </c>
      <c r="T47" s="227">
        <f t="shared" si="8"/>
        <v>19380314.80971146</v>
      </c>
      <c r="U47" s="227">
        <f t="shared" ref="U47:W47" si="9">U48+U54+U102+U116</f>
        <v>4328531.2</v>
      </c>
      <c r="V47" s="227">
        <f t="shared" si="9"/>
        <v>0</v>
      </c>
      <c r="W47" s="227">
        <f t="shared" si="9"/>
        <v>23708846.009711459</v>
      </c>
    </row>
    <row r="48" spans="1:24" ht="15.75" x14ac:dyDescent="0.25">
      <c r="A48" s="246"/>
      <c r="B48" s="246"/>
      <c r="C48" s="246"/>
      <c r="D48" s="247" t="s">
        <v>512</v>
      </c>
      <c r="E48" s="168"/>
      <c r="F48" s="247"/>
      <c r="G48" s="247"/>
      <c r="H48" s="248"/>
      <c r="I48" s="249" t="s">
        <v>414</v>
      </c>
      <c r="J48" s="250">
        <f>J49</f>
        <v>123750</v>
      </c>
      <c r="K48" s="250">
        <f t="shared" ref="K48:P49" si="10">K49</f>
        <v>0</v>
      </c>
      <c r="L48" s="250">
        <f t="shared" si="10"/>
        <v>0</v>
      </c>
      <c r="M48" s="250">
        <f t="shared" si="10"/>
        <v>123750</v>
      </c>
      <c r="N48" s="250">
        <v>146000</v>
      </c>
      <c r="O48" s="250">
        <f t="shared" ref="O48:W49" si="11">O49</f>
        <v>0</v>
      </c>
      <c r="P48" s="250">
        <f t="shared" si="11"/>
        <v>0</v>
      </c>
      <c r="Q48" s="250">
        <f t="shared" si="11"/>
        <v>146000</v>
      </c>
      <c r="R48" s="250">
        <f t="shared" si="11"/>
        <v>0</v>
      </c>
      <c r="S48" s="250">
        <f t="shared" si="11"/>
        <v>0</v>
      </c>
      <c r="T48" s="250">
        <f t="shared" si="11"/>
        <v>136010</v>
      </c>
      <c r="U48" s="250">
        <f t="shared" si="11"/>
        <v>0</v>
      </c>
      <c r="V48" s="250">
        <f t="shared" si="11"/>
        <v>0</v>
      </c>
      <c r="W48" s="250">
        <f t="shared" si="11"/>
        <v>136010</v>
      </c>
    </row>
    <row r="49" spans="1:23" ht="15.75" x14ac:dyDescent="0.25">
      <c r="A49" s="219"/>
      <c r="B49" s="219"/>
      <c r="C49" s="219"/>
      <c r="D49" s="219"/>
      <c r="E49" s="219" t="s">
        <v>476</v>
      </c>
      <c r="F49" s="219" t="s">
        <v>476</v>
      </c>
      <c r="G49" s="219"/>
      <c r="H49" s="221"/>
      <c r="I49" s="169" t="s">
        <v>415</v>
      </c>
      <c r="J49" s="222">
        <f>J50</f>
        <v>123750</v>
      </c>
      <c r="K49" s="222">
        <f t="shared" si="10"/>
        <v>0</v>
      </c>
      <c r="L49" s="222">
        <f t="shared" si="10"/>
        <v>0</v>
      </c>
      <c r="M49" s="222">
        <f t="shared" si="10"/>
        <v>123750</v>
      </c>
      <c r="N49" s="222">
        <v>146000</v>
      </c>
      <c r="O49" s="222">
        <f t="shared" si="10"/>
        <v>0</v>
      </c>
      <c r="P49" s="222">
        <f t="shared" si="10"/>
        <v>0</v>
      </c>
      <c r="Q49" s="222">
        <f t="shared" si="11"/>
        <v>146000</v>
      </c>
      <c r="R49" s="222">
        <f t="shared" si="11"/>
        <v>0</v>
      </c>
      <c r="S49" s="222">
        <f t="shared" si="11"/>
        <v>0</v>
      </c>
      <c r="T49" s="222">
        <f t="shared" si="11"/>
        <v>136010</v>
      </c>
      <c r="U49" s="222">
        <f t="shared" si="11"/>
        <v>0</v>
      </c>
      <c r="V49" s="222">
        <f t="shared" si="11"/>
        <v>0</v>
      </c>
      <c r="W49" s="222">
        <f t="shared" si="11"/>
        <v>136010</v>
      </c>
    </row>
    <row r="50" spans="1:23" ht="15.75" x14ac:dyDescent="0.25">
      <c r="A50" s="119"/>
      <c r="B50" s="90"/>
      <c r="C50" s="90"/>
      <c r="D50" s="120"/>
      <c r="E50" s="120"/>
      <c r="F50" s="223"/>
      <c r="G50" s="223" t="s">
        <v>516</v>
      </c>
      <c r="H50" s="224"/>
      <c r="I50" s="225" t="s">
        <v>391</v>
      </c>
      <c r="J50" s="226">
        <f>SUM(J51:J53)</f>
        <v>123750</v>
      </c>
      <c r="K50" s="226">
        <f>SUM(K51:K53)</f>
        <v>0</v>
      </c>
      <c r="L50" s="226">
        <f>SUM(L51:L53)</f>
        <v>0</v>
      </c>
      <c r="M50" s="226">
        <f>SUM(M51:M53)</f>
        <v>123750</v>
      </c>
      <c r="N50" s="226">
        <v>146000</v>
      </c>
      <c r="O50" s="226">
        <f t="shared" ref="O50:T50" si="12">SUM(O51:O53)</f>
        <v>0</v>
      </c>
      <c r="P50" s="226">
        <f t="shared" si="12"/>
        <v>0</v>
      </c>
      <c r="Q50" s="226">
        <f t="shared" si="12"/>
        <v>146000</v>
      </c>
      <c r="R50" s="226">
        <f t="shared" si="12"/>
        <v>0</v>
      </c>
      <c r="S50" s="226">
        <f t="shared" si="12"/>
        <v>0</v>
      </c>
      <c r="T50" s="226">
        <f t="shared" si="12"/>
        <v>136010</v>
      </c>
      <c r="U50" s="226">
        <f t="shared" ref="U50:W50" si="13">SUM(U51:U53)</f>
        <v>0</v>
      </c>
      <c r="V50" s="226">
        <f t="shared" si="13"/>
        <v>0</v>
      </c>
      <c r="W50" s="226">
        <f t="shared" si="13"/>
        <v>136010</v>
      </c>
    </row>
    <row r="51" spans="1:23" ht="15.75" x14ac:dyDescent="0.25">
      <c r="A51" s="119"/>
      <c r="B51" s="90"/>
      <c r="C51" s="90"/>
      <c r="D51" s="120"/>
      <c r="E51" s="120" t="s">
        <v>476</v>
      </c>
      <c r="F51" s="120" t="s">
        <v>476</v>
      </c>
      <c r="G51" s="120"/>
      <c r="H51" s="121">
        <v>1323</v>
      </c>
      <c r="I51" s="124" t="s">
        <v>58</v>
      </c>
      <c r="J51" s="94">
        <v>88750</v>
      </c>
      <c r="K51" s="94"/>
      <c r="L51" s="94"/>
      <c r="M51" s="94">
        <f t="shared" ref="M51:M53" si="14">J51+K51-L51</f>
        <v>88750</v>
      </c>
      <c r="N51" s="94">
        <v>100000</v>
      </c>
      <c r="O51" s="94"/>
      <c r="P51" s="94"/>
      <c r="Q51" s="94">
        <v>100000</v>
      </c>
      <c r="R51" s="94"/>
      <c r="S51" s="94"/>
      <c r="T51" s="94">
        <v>120000</v>
      </c>
      <c r="U51" s="94"/>
      <c r="V51" s="94"/>
      <c r="W51" s="94">
        <v>120000</v>
      </c>
    </row>
    <row r="52" spans="1:23" ht="15.75" x14ac:dyDescent="0.25">
      <c r="A52" s="119"/>
      <c r="B52" s="90"/>
      <c r="C52" s="90"/>
      <c r="D52" s="120"/>
      <c r="E52" s="120" t="s">
        <v>476</v>
      </c>
      <c r="F52" s="120" t="s">
        <v>476</v>
      </c>
      <c r="G52" s="120"/>
      <c r="H52" s="121">
        <v>3151</v>
      </c>
      <c r="I52" s="122" t="s">
        <v>313</v>
      </c>
      <c r="J52" s="94">
        <v>25000</v>
      </c>
      <c r="K52" s="94"/>
      <c r="L52" s="94"/>
      <c r="M52" s="94">
        <f t="shared" si="14"/>
        <v>25000</v>
      </c>
      <c r="N52" s="94">
        <v>36000</v>
      </c>
      <c r="O52" s="94"/>
      <c r="P52" s="94"/>
      <c r="Q52" s="94">
        <v>36000</v>
      </c>
      <c r="R52" s="94"/>
      <c r="S52" s="94"/>
      <c r="T52" s="94">
        <v>10</v>
      </c>
      <c r="U52" s="94"/>
      <c r="V52" s="94"/>
      <c r="W52" s="94">
        <v>10</v>
      </c>
    </row>
    <row r="53" spans="1:23" ht="15.75" x14ac:dyDescent="0.25">
      <c r="A53" s="119"/>
      <c r="B53" s="90"/>
      <c r="C53" s="90"/>
      <c r="D53" s="120"/>
      <c r="E53" s="120" t="s">
        <v>476</v>
      </c>
      <c r="F53" s="120" t="s">
        <v>476</v>
      </c>
      <c r="G53" s="120"/>
      <c r="H53" s="121">
        <v>3851</v>
      </c>
      <c r="I53" s="122" t="s">
        <v>119</v>
      </c>
      <c r="J53" s="94">
        <v>10000</v>
      </c>
      <c r="K53" s="94"/>
      <c r="L53" s="94"/>
      <c r="M53" s="94">
        <f t="shared" si="14"/>
        <v>10000</v>
      </c>
      <c r="N53" s="94">
        <v>10000</v>
      </c>
      <c r="O53" s="94"/>
      <c r="P53" s="94"/>
      <c r="Q53" s="94">
        <v>10000</v>
      </c>
      <c r="R53" s="94"/>
      <c r="S53" s="94"/>
      <c r="T53" s="94">
        <v>16000</v>
      </c>
      <c r="U53" s="94"/>
      <c r="V53" s="94"/>
      <c r="W53" s="94">
        <v>16000</v>
      </c>
    </row>
    <row r="54" spans="1:23" ht="15.75" x14ac:dyDescent="0.25">
      <c r="A54" s="246"/>
      <c r="B54" s="246"/>
      <c r="C54" s="246"/>
      <c r="D54" s="247" t="s">
        <v>513</v>
      </c>
      <c r="E54" s="168"/>
      <c r="F54" s="247"/>
      <c r="G54" s="247"/>
      <c r="H54" s="248"/>
      <c r="I54" s="251" t="s">
        <v>417</v>
      </c>
      <c r="J54" s="250">
        <f>J55+J96</f>
        <v>5551886.9688137025</v>
      </c>
      <c r="K54" s="250">
        <f>K55+K96</f>
        <v>152000</v>
      </c>
      <c r="L54" s="250">
        <f>L55+L96</f>
        <v>0</v>
      </c>
      <c r="M54" s="250">
        <f>M55+M96</f>
        <v>5703886.9688137025</v>
      </c>
      <c r="N54" s="250">
        <v>5372181.6919598868</v>
      </c>
      <c r="O54" s="250">
        <f t="shared" ref="O54:T54" si="15">O55+O96</f>
        <v>598929.12501167739</v>
      </c>
      <c r="P54" s="250">
        <f t="shared" si="15"/>
        <v>490000</v>
      </c>
      <c r="Q54" s="250">
        <f t="shared" si="15"/>
        <v>5534742.8401288055</v>
      </c>
      <c r="R54" s="250">
        <f t="shared" si="15"/>
        <v>327243.13</v>
      </c>
      <c r="S54" s="250">
        <f t="shared" si="15"/>
        <v>21214.31</v>
      </c>
      <c r="T54" s="250">
        <f t="shared" si="15"/>
        <v>5914846.9688137025</v>
      </c>
      <c r="U54" s="250">
        <f t="shared" ref="U54:W54" si="16">U55+U96</f>
        <v>765000</v>
      </c>
      <c r="V54" s="250">
        <f t="shared" si="16"/>
        <v>0</v>
      </c>
      <c r="W54" s="250">
        <f t="shared" si="16"/>
        <v>6679846.9688137025</v>
      </c>
    </row>
    <row r="55" spans="1:23" ht="15.75" x14ac:dyDescent="0.25">
      <c r="A55" s="219"/>
      <c r="B55" s="219"/>
      <c r="C55" s="219"/>
      <c r="D55" s="161"/>
      <c r="E55" s="161" t="s">
        <v>482</v>
      </c>
      <c r="F55" s="161" t="s">
        <v>482</v>
      </c>
      <c r="G55" s="160"/>
      <c r="H55" s="162"/>
      <c r="I55" s="163" t="s">
        <v>420</v>
      </c>
      <c r="J55" s="227">
        <f>J56</f>
        <v>5513886.9688137025</v>
      </c>
      <c r="K55" s="227">
        <f t="shared" ref="K55:O55" si="17">K56</f>
        <v>152000</v>
      </c>
      <c r="L55" s="227">
        <f t="shared" si="17"/>
        <v>0</v>
      </c>
      <c r="M55" s="227">
        <f t="shared" si="17"/>
        <v>5665886.9688137025</v>
      </c>
      <c r="N55" s="227">
        <v>5307181.6919598868</v>
      </c>
      <c r="O55" s="227">
        <f t="shared" si="17"/>
        <v>558929.12501167739</v>
      </c>
      <c r="P55" s="227">
        <f t="shared" ref="P55:W55" si="18">P56</f>
        <v>490000</v>
      </c>
      <c r="Q55" s="227">
        <f t="shared" si="18"/>
        <v>5455742.8401288055</v>
      </c>
      <c r="R55" s="227">
        <f t="shared" si="18"/>
        <v>322243.13</v>
      </c>
      <c r="S55" s="227">
        <f t="shared" si="18"/>
        <v>21214.31</v>
      </c>
      <c r="T55" s="227">
        <f t="shared" si="18"/>
        <v>5834846.9688137025</v>
      </c>
      <c r="U55" s="227">
        <f t="shared" si="18"/>
        <v>765000</v>
      </c>
      <c r="V55" s="227">
        <f t="shared" si="18"/>
        <v>0</v>
      </c>
      <c r="W55" s="227">
        <f t="shared" si="18"/>
        <v>6599846.9688137025</v>
      </c>
    </row>
    <row r="56" spans="1:23" ht="15.75" x14ac:dyDescent="0.25">
      <c r="A56" s="119"/>
      <c r="B56" s="90"/>
      <c r="C56" s="90"/>
      <c r="D56" s="120"/>
      <c r="E56" s="120"/>
      <c r="F56" s="223"/>
      <c r="G56" s="223" t="s">
        <v>516</v>
      </c>
      <c r="H56" s="224"/>
      <c r="I56" s="225" t="s">
        <v>391</v>
      </c>
      <c r="J56" s="226">
        <f>SUM(J57:J95)</f>
        <v>5513886.9688137025</v>
      </c>
      <c r="K56" s="226">
        <f>SUM(K57:K95)</f>
        <v>152000</v>
      </c>
      <c r="L56" s="226">
        <f>SUM(L57:L95)</f>
        <v>0</v>
      </c>
      <c r="M56" s="226">
        <f>SUM(M57:M95)</f>
        <v>5665886.9688137025</v>
      </c>
      <c r="N56" s="226">
        <v>5307181.6919598868</v>
      </c>
      <c r="O56" s="226">
        <f t="shared" ref="O56:T56" si="19">SUM(O57:O95)</f>
        <v>558929.12501167739</v>
      </c>
      <c r="P56" s="226">
        <f t="shared" si="19"/>
        <v>490000</v>
      </c>
      <c r="Q56" s="226">
        <f t="shared" si="19"/>
        <v>5455742.8401288055</v>
      </c>
      <c r="R56" s="226">
        <f t="shared" si="19"/>
        <v>322243.13</v>
      </c>
      <c r="S56" s="226">
        <f t="shared" si="19"/>
        <v>21214.31</v>
      </c>
      <c r="T56" s="226">
        <f t="shared" si="19"/>
        <v>5834846.9688137025</v>
      </c>
      <c r="U56" s="226">
        <f t="shared" ref="U56:W56" si="20">SUM(U57:U95)</f>
        <v>765000</v>
      </c>
      <c r="V56" s="226">
        <f t="shared" si="20"/>
        <v>0</v>
      </c>
      <c r="W56" s="226">
        <f t="shared" si="20"/>
        <v>6599846.9688137025</v>
      </c>
    </row>
    <row r="57" spans="1:23" ht="15.75" x14ac:dyDescent="0.25">
      <c r="A57" s="119"/>
      <c r="B57" s="90"/>
      <c r="C57" s="90"/>
      <c r="D57" s="120"/>
      <c r="E57" s="120" t="s">
        <v>482</v>
      </c>
      <c r="F57" s="120" t="s">
        <v>482</v>
      </c>
      <c r="G57" s="120"/>
      <c r="H57" s="121">
        <v>1131</v>
      </c>
      <c r="I57" s="124" t="s">
        <v>52</v>
      </c>
      <c r="J57" s="94">
        <f>'PLANTILLA 2025'!I33</f>
        <v>2966410.6488706963</v>
      </c>
      <c r="K57" s="94"/>
      <c r="L57" s="94"/>
      <c r="M57" s="94">
        <f>J57+K57-L57</f>
        <v>2966410.6488706963</v>
      </c>
      <c r="N57" s="94">
        <v>2505834.0637544347</v>
      </c>
      <c r="O57" s="94">
        <v>81239.887499999721</v>
      </c>
      <c r="P57" s="94"/>
      <c r="Q57" s="94">
        <v>2690556.9431774374</v>
      </c>
      <c r="R57" s="94">
        <v>25019.19</v>
      </c>
      <c r="S57" s="94"/>
      <c r="T57" s="94">
        <f>'PLANTILLA 2025'!I33</f>
        <v>2966410.6488706963</v>
      </c>
      <c r="U57" s="94"/>
      <c r="V57" s="94"/>
      <c r="W57" s="94">
        <f>'PLANTILLA 2025'!I33</f>
        <v>2966410.6488706963</v>
      </c>
    </row>
    <row r="58" spans="1:23" ht="15.75" x14ac:dyDescent="0.25">
      <c r="A58" s="119"/>
      <c r="B58" s="90"/>
      <c r="C58" s="90"/>
      <c r="D58" s="120"/>
      <c r="E58" s="120" t="s">
        <v>482</v>
      </c>
      <c r="F58" s="120" t="s">
        <v>482</v>
      </c>
      <c r="G58" s="120"/>
      <c r="H58" s="121">
        <v>1221</v>
      </c>
      <c r="I58" s="122" t="s">
        <v>394</v>
      </c>
      <c r="J58" s="94">
        <v>160000</v>
      </c>
      <c r="K58" s="94"/>
      <c r="L58" s="94"/>
      <c r="M58" s="94">
        <f t="shared" ref="M58:M95" si="21">J58+K58-L58</f>
        <v>160000</v>
      </c>
      <c r="N58" s="94">
        <v>60000</v>
      </c>
      <c r="O58" s="94">
        <v>96000</v>
      </c>
      <c r="P58" s="94"/>
      <c r="Q58" s="94">
        <v>40000</v>
      </c>
      <c r="R58" s="94">
        <v>50000</v>
      </c>
      <c r="S58" s="94"/>
      <c r="T58" s="94">
        <v>40000</v>
      </c>
      <c r="U58" s="94"/>
      <c r="V58" s="94"/>
      <c r="W58" s="94">
        <v>40000</v>
      </c>
    </row>
    <row r="59" spans="1:23" ht="15.75" x14ac:dyDescent="0.25">
      <c r="A59" s="119"/>
      <c r="B59" s="90"/>
      <c r="C59" s="90"/>
      <c r="D59" s="120"/>
      <c r="E59" s="120" t="s">
        <v>482</v>
      </c>
      <c r="F59" s="120" t="s">
        <v>482</v>
      </c>
      <c r="G59" s="120"/>
      <c r="H59" s="121">
        <v>1321</v>
      </c>
      <c r="I59" s="124" t="s">
        <v>395</v>
      </c>
      <c r="J59" s="94">
        <f>'PLANTILLA 2025'!N33</f>
        <v>48789.648830110134</v>
      </c>
      <c r="K59" s="94"/>
      <c r="L59" s="94"/>
      <c r="M59" s="94">
        <f t="shared" si="21"/>
        <v>48789.648830110134</v>
      </c>
      <c r="N59" s="94">
        <v>41214.376048592654</v>
      </c>
      <c r="O59" s="94">
        <v>1336.1823601973665</v>
      </c>
      <c r="P59" s="94"/>
      <c r="Q59" s="94">
        <v>44252.581302260485</v>
      </c>
      <c r="R59" s="94">
        <v>411.5</v>
      </c>
      <c r="S59" s="94"/>
      <c r="T59" s="94">
        <f>'PLANTILLA 2025'!N33</f>
        <v>48789.648830110134</v>
      </c>
      <c r="U59" s="94"/>
      <c r="V59" s="94"/>
      <c r="W59" s="94">
        <f>'PLANTILLA 2025'!N33</f>
        <v>48789.648830110134</v>
      </c>
    </row>
    <row r="60" spans="1:23" ht="15.75" x14ac:dyDescent="0.25">
      <c r="A60" s="119"/>
      <c r="B60" s="90"/>
      <c r="C60" s="90"/>
      <c r="D60" s="120"/>
      <c r="E60" s="120" t="s">
        <v>482</v>
      </c>
      <c r="F60" s="120" t="s">
        <v>482</v>
      </c>
      <c r="G60" s="120"/>
      <c r="H60" s="121">
        <v>1323</v>
      </c>
      <c r="I60" s="124" t="s">
        <v>58</v>
      </c>
      <c r="J60" s="94">
        <f>'PLANTILLA 2025'!O33</f>
        <v>365922.36622582603</v>
      </c>
      <c r="K60" s="94"/>
      <c r="L60" s="94"/>
      <c r="M60" s="94">
        <f t="shared" si="21"/>
        <v>365922.36622582603</v>
      </c>
      <c r="N60" s="94">
        <v>309107.82036444498</v>
      </c>
      <c r="O60" s="94">
        <v>10021.367701480282</v>
      </c>
      <c r="P60" s="94"/>
      <c r="Q60" s="94">
        <v>331894.35976695362</v>
      </c>
      <c r="R60" s="94">
        <v>3086.25</v>
      </c>
      <c r="S60" s="94"/>
      <c r="T60" s="94">
        <f>'PLANTILLA 2025'!O33</f>
        <v>365922.36622582603</v>
      </c>
      <c r="U60" s="94"/>
      <c r="V60" s="94"/>
      <c r="W60" s="94">
        <f>'PLANTILLA 2025'!O33</f>
        <v>365922.36622582603</v>
      </c>
    </row>
    <row r="61" spans="1:23" ht="15.75" x14ac:dyDescent="0.25">
      <c r="A61" s="119"/>
      <c r="B61" s="90"/>
      <c r="C61" s="90"/>
      <c r="D61" s="120"/>
      <c r="E61" s="120" t="s">
        <v>482</v>
      </c>
      <c r="F61" s="120" t="s">
        <v>482</v>
      </c>
      <c r="G61" s="120"/>
      <c r="H61" s="121">
        <v>1413</v>
      </c>
      <c r="I61" s="124" t="s">
        <v>396</v>
      </c>
      <c r="J61" s="94">
        <f>'PLANTILLA 2025'!S33</f>
        <v>299592</v>
      </c>
      <c r="K61" s="94">
        <v>15000</v>
      </c>
      <c r="L61" s="94"/>
      <c r="M61" s="94">
        <f t="shared" si="21"/>
        <v>314592</v>
      </c>
      <c r="N61" s="94">
        <v>190621.2375234919</v>
      </c>
      <c r="O61" s="94">
        <v>10103.618700000021</v>
      </c>
      <c r="P61" s="94"/>
      <c r="Q61" s="94">
        <v>224353.3092564315</v>
      </c>
      <c r="R61" s="94">
        <v>75238.69</v>
      </c>
      <c r="S61" s="94"/>
      <c r="T61" s="94">
        <f>'PLANTILLA 2025'!S33</f>
        <v>299592</v>
      </c>
      <c r="U61" s="94"/>
      <c r="V61" s="94"/>
      <c r="W61" s="94">
        <f>'PLANTILLA 2025'!S33</f>
        <v>299592</v>
      </c>
    </row>
    <row r="62" spans="1:23" ht="15.75" x14ac:dyDescent="0.25">
      <c r="A62" s="119"/>
      <c r="B62" s="90"/>
      <c r="C62" s="90"/>
      <c r="D62" s="120"/>
      <c r="E62" s="120" t="s">
        <v>482</v>
      </c>
      <c r="F62" s="120" t="s">
        <v>482</v>
      </c>
      <c r="G62" s="120"/>
      <c r="H62" s="121">
        <v>1421</v>
      </c>
      <c r="I62" s="124" t="s">
        <v>397</v>
      </c>
      <c r="J62" s="94">
        <f>'PLANTILLA 2025'!U33</f>
        <v>155194</v>
      </c>
      <c r="K62" s="94">
        <v>14000</v>
      </c>
      <c r="L62" s="94"/>
      <c r="M62" s="94">
        <f t="shared" si="21"/>
        <v>169194</v>
      </c>
      <c r="N62" s="94">
        <v>135388.60605042038</v>
      </c>
      <c r="O62" s="94"/>
      <c r="P62" s="94"/>
      <c r="Q62" s="94">
        <v>156408.30551103965</v>
      </c>
      <c r="R62" s="94"/>
      <c r="S62" s="94">
        <v>1214.31</v>
      </c>
      <c r="T62" s="94">
        <f>'PLANTILLA 2025'!U33</f>
        <v>155194</v>
      </c>
      <c r="U62" s="94"/>
      <c r="V62" s="94"/>
      <c r="W62" s="94">
        <f>'PLANTILLA 2025'!U33</f>
        <v>155194</v>
      </c>
    </row>
    <row r="63" spans="1:23" ht="15.75" x14ac:dyDescent="0.25">
      <c r="A63" s="119"/>
      <c r="B63" s="90"/>
      <c r="C63" s="90"/>
      <c r="D63" s="120"/>
      <c r="E63" s="120" t="s">
        <v>482</v>
      </c>
      <c r="F63" s="120" t="s">
        <v>482</v>
      </c>
      <c r="G63" s="120"/>
      <c r="H63" s="121">
        <v>1431</v>
      </c>
      <c r="I63" s="124" t="s">
        <v>398</v>
      </c>
      <c r="J63" s="94">
        <f>'PLANTILLA 2025'!T33</f>
        <v>253399.72</v>
      </c>
      <c r="K63" s="94">
        <v>25000</v>
      </c>
      <c r="L63" s="94"/>
      <c r="M63" s="94">
        <f t="shared" si="21"/>
        <v>278399.71999999997</v>
      </c>
      <c r="N63" s="94">
        <v>165678.74184305841</v>
      </c>
      <c r="O63" s="94"/>
      <c r="P63" s="94"/>
      <c r="Q63" s="94">
        <v>187914.13679693846</v>
      </c>
      <c r="R63" s="94">
        <v>65485.58</v>
      </c>
      <c r="S63" s="94"/>
      <c r="T63" s="94">
        <f>'PLANTILLA 2025'!T33</f>
        <v>253399.72</v>
      </c>
      <c r="U63" s="94"/>
      <c r="V63" s="94"/>
      <c r="W63" s="94">
        <f>'PLANTILLA 2025'!T33</f>
        <v>253399.72</v>
      </c>
    </row>
    <row r="64" spans="1:23" ht="15.75" x14ac:dyDescent="0.25">
      <c r="A64" s="119"/>
      <c r="B64" s="90"/>
      <c r="C64" s="90"/>
      <c r="D64" s="120"/>
      <c r="E64" s="120" t="s">
        <v>482</v>
      </c>
      <c r="F64" s="120" t="s">
        <v>482</v>
      </c>
      <c r="G64" s="120"/>
      <c r="H64" s="121">
        <v>1521</v>
      </c>
      <c r="I64" s="124" t="s">
        <v>306</v>
      </c>
      <c r="J64" s="94">
        <v>40000</v>
      </c>
      <c r="K64" s="94">
        <v>80000</v>
      </c>
      <c r="L64" s="94"/>
      <c r="M64" s="94">
        <f t="shared" si="21"/>
        <v>120000</v>
      </c>
      <c r="N64" s="94">
        <v>0</v>
      </c>
      <c r="O64" s="94">
        <v>250000</v>
      </c>
      <c r="P64" s="94"/>
      <c r="Q64" s="94">
        <v>280000</v>
      </c>
      <c r="R64" s="94">
        <v>20000</v>
      </c>
      <c r="S64" s="94"/>
      <c r="T64" s="94">
        <v>150000</v>
      </c>
      <c r="U64" s="94"/>
      <c r="V64" s="94"/>
      <c r="W64" s="94">
        <v>150000</v>
      </c>
    </row>
    <row r="65" spans="1:24" ht="15.75" x14ac:dyDescent="0.25">
      <c r="A65" s="119"/>
      <c r="B65" s="90"/>
      <c r="C65" s="90"/>
      <c r="D65" s="120"/>
      <c r="E65" s="120" t="s">
        <v>482</v>
      </c>
      <c r="F65" s="120" t="s">
        <v>482</v>
      </c>
      <c r="G65" s="120"/>
      <c r="H65" s="121">
        <v>1541</v>
      </c>
      <c r="I65" s="124" t="s">
        <v>307</v>
      </c>
      <c r="J65" s="94">
        <f>'PLANTILLA 2025'!J33</f>
        <v>39977.520000000004</v>
      </c>
      <c r="K65" s="94"/>
      <c r="L65" s="94"/>
      <c r="M65" s="94">
        <f t="shared" si="21"/>
        <v>39977.520000000004</v>
      </c>
      <c r="N65" s="94">
        <v>37873.44000000001</v>
      </c>
      <c r="O65" s="94">
        <v>2104.0799999999945</v>
      </c>
      <c r="P65" s="94"/>
      <c r="Q65" s="94">
        <v>39977.520000000004</v>
      </c>
      <c r="R65" s="94"/>
      <c r="S65" s="94"/>
      <c r="T65" s="94">
        <f>'PLANTILLA 2025'!J33</f>
        <v>39977.520000000004</v>
      </c>
      <c r="U65" s="94"/>
      <c r="V65" s="94"/>
      <c r="W65" s="94">
        <f>'PLANTILLA 2025'!J33</f>
        <v>39977.520000000004</v>
      </c>
    </row>
    <row r="66" spans="1:24" ht="15.75" x14ac:dyDescent="0.25">
      <c r="A66" s="119"/>
      <c r="B66" s="90"/>
      <c r="C66" s="90"/>
      <c r="D66" s="120"/>
      <c r="E66" s="120" t="s">
        <v>482</v>
      </c>
      <c r="F66" s="120" t="s">
        <v>482</v>
      </c>
      <c r="G66" s="120"/>
      <c r="H66" s="121">
        <v>1592</v>
      </c>
      <c r="I66" s="124" t="s">
        <v>506</v>
      </c>
      <c r="J66" s="94">
        <f>'PLANTILLA 2025'!K33</f>
        <v>296641.06488706963</v>
      </c>
      <c r="K66" s="94"/>
      <c r="L66" s="94"/>
      <c r="M66" s="94">
        <f t="shared" si="21"/>
        <v>296641.06488706963</v>
      </c>
      <c r="N66" s="94">
        <v>250583.40637544336</v>
      </c>
      <c r="O66" s="94">
        <v>8123.9887499999895</v>
      </c>
      <c r="P66" s="94"/>
      <c r="Q66" s="94">
        <v>269055.69431774376</v>
      </c>
      <c r="R66" s="94">
        <v>2501.92</v>
      </c>
      <c r="S66" s="94"/>
      <c r="T66" s="94">
        <f>'PLANTILLA 2025'!K33</f>
        <v>296641.06488706963</v>
      </c>
      <c r="U66" s="94"/>
      <c r="V66" s="94"/>
      <c r="W66" s="94">
        <f>'PLANTILLA 2025'!K33</f>
        <v>296641.06488706963</v>
      </c>
    </row>
    <row r="67" spans="1:24" ht="15.75" x14ac:dyDescent="0.25">
      <c r="A67" s="119"/>
      <c r="B67" s="90"/>
      <c r="C67" s="90"/>
      <c r="D67" s="120"/>
      <c r="E67" s="120" t="s">
        <v>482</v>
      </c>
      <c r="F67" s="120" t="s">
        <v>482</v>
      </c>
      <c r="G67" s="120"/>
      <c r="H67" s="121">
        <v>2111</v>
      </c>
      <c r="I67" s="122" t="s">
        <v>416</v>
      </c>
      <c r="J67" s="94">
        <v>62000</v>
      </c>
      <c r="K67" s="94"/>
      <c r="L67" s="94"/>
      <c r="M67" s="94">
        <f t="shared" si="21"/>
        <v>62000</v>
      </c>
      <c r="N67" s="94">
        <v>62000</v>
      </c>
      <c r="O67" s="94"/>
      <c r="P67" s="94"/>
      <c r="Q67" s="94">
        <v>62000</v>
      </c>
      <c r="R67" s="94">
        <v>15000</v>
      </c>
      <c r="S67" s="94"/>
      <c r="T67" s="94">
        <v>87000</v>
      </c>
      <c r="U67" s="94">
        <v>13000</v>
      </c>
      <c r="V67" s="94"/>
      <c r="W67" s="94">
        <f>T67+U67-V67</f>
        <v>100000</v>
      </c>
    </row>
    <row r="68" spans="1:24" ht="17.25" customHeight="1" x14ac:dyDescent="0.25">
      <c r="A68" s="119"/>
      <c r="B68" s="90"/>
      <c r="C68" s="90"/>
      <c r="D68" s="120"/>
      <c r="E68" s="120" t="s">
        <v>482</v>
      </c>
      <c r="F68" s="120" t="s">
        <v>482</v>
      </c>
      <c r="G68" s="120"/>
      <c r="H68" s="121">
        <v>2141</v>
      </c>
      <c r="I68" s="124" t="s">
        <v>399</v>
      </c>
      <c r="J68" s="94">
        <v>80000</v>
      </c>
      <c r="K68" s="94"/>
      <c r="L68" s="94"/>
      <c r="M68" s="94">
        <f t="shared" si="21"/>
        <v>80000</v>
      </c>
      <c r="N68" s="94">
        <v>80000</v>
      </c>
      <c r="O68" s="94"/>
      <c r="P68" s="94"/>
      <c r="Q68" s="94">
        <v>60000</v>
      </c>
      <c r="R68" s="94"/>
      <c r="S68" s="94"/>
      <c r="T68" s="94">
        <v>100000</v>
      </c>
      <c r="U68" s="94"/>
      <c r="V68" s="94"/>
      <c r="W68" s="94">
        <v>100000</v>
      </c>
    </row>
    <row r="69" spans="1:24" ht="15.75" x14ac:dyDescent="0.25">
      <c r="A69" s="119"/>
      <c r="B69" s="90"/>
      <c r="C69" s="90"/>
      <c r="D69" s="120"/>
      <c r="E69" s="120" t="s">
        <v>482</v>
      </c>
      <c r="F69" s="120" t="s">
        <v>482</v>
      </c>
      <c r="G69" s="120"/>
      <c r="H69" s="121">
        <v>2151</v>
      </c>
      <c r="I69" s="122" t="s">
        <v>71</v>
      </c>
      <c r="J69" s="94">
        <v>67000</v>
      </c>
      <c r="K69" s="94"/>
      <c r="L69" s="94"/>
      <c r="M69" s="94">
        <f t="shared" si="21"/>
        <v>67000</v>
      </c>
      <c r="N69" s="94">
        <v>60000</v>
      </c>
      <c r="O69" s="94"/>
      <c r="P69" s="94"/>
      <c r="Q69" s="94">
        <v>92000</v>
      </c>
      <c r="R69" s="94"/>
      <c r="S69" s="94"/>
      <c r="T69" s="94">
        <v>100000</v>
      </c>
      <c r="U69" s="94">
        <v>30000</v>
      </c>
      <c r="V69" s="94"/>
      <c r="W69" s="94">
        <f>T69+U69-V69</f>
        <v>130000</v>
      </c>
    </row>
    <row r="70" spans="1:24" ht="15.75" x14ac:dyDescent="0.25">
      <c r="A70" s="119"/>
      <c r="B70" s="90"/>
      <c r="C70" s="90"/>
      <c r="D70" s="120"/>
      <c r="E70" s="120" t="s">
        <v>482</v>
      </c>
      <c r="F70" s="120" t="s">
        <v>482</v>
      </c>
      <c r="G70" s="120"/>
      <c r="H70" s="121">
        <v>2161</v>
      </c>
      <c r="I70" s="122" t="s">
        <v>72</v>
      </c>
      <c r="J70" s="94">
        <v>25000</v>
      </c>
      <c r="K70" s="94"/>
      <c r="L70" s="94"/>
      <c r="M70" s="94">
        <f t="shared" si="21"/>
        <v>25000</v>
      </c>
      <c r="N70" s="94">
        <v>25000</v>
      </c>
      <c r="O70" s="94"/>
      <c r="P70" s="94"/>
      <c r="Q70" s="94">
        <v>25000</v>
      </c>
      <c r="R70" s="94"/>
      <c r="S70" s="94"/>
      <c r="T70" s="94">
        <v>25000</v>
      </c>
      <c r="U70" s="94"/>
      <c r="V70" s="94"/>
      <c r="W70" s="94">
        <v>25000</v>
      </c>
    </row>
    <row r="71" spans="1:24" ht="15.75" x14ac:dyDescent="0.25">
      <c r="A71" s="119"/>
      <c r="B71" s="90"/>
      <c r="C71" s="90"/>
      <c r="D71" s="120"/>
      <c r="E71" s="120" t="s">
        <v>482</v>
      </c>
      <c r="F71" s="120" t="s">
        <v>482</v>
      </c>
      <c r="G71" s="120"/>
      <c r="H71" s="121">
        <v>2211</v>
      </c>
      <c r="I71" s="123" t="s">
        <v>75</v>
      </c>
      <c r="J71" s="94">
        <v>14000</v>
      </c>
      <c r="K71" s="94"/>
      <c r="L71" s="94"/>
      <c r="M71" s="94">
        <f t="shared" si="21"/>
        <v>14000</v>
      </c>
      <c r="N71" s="94">
        <v>19000</v>
      </c>
      <c r="O71" s="94"/>
      <c r="P71" s="94"/>
      <c r="Q71" s="94">
        <v>19000</v>
      </c>
      <c r="R71" s="94"/>
      <c r="S71" s="94"/>
      <c r="T71" s="94">
        <v>19000</v>
      </c>
      <c r="U71" s="94">
        <v>10000</v>
      </c>
      <c r="V71" s="94"/>
      <c r="W71" s="94">
        <f>T71+U71-V71</f>
        <v>29000</v>
      </c>
    </row>
    <row r="72" spans="1:24" ht="15.75" x14ac:dyDescent="0.25">
      <c r="A72" s="119"/>
      <c r="B72" s="90"/>
      <c r="C72" s="90"/>
      <c r="D72" s="120"/>
      <c r="E72" s="120" t="s">
        <v>482</v>
      </c>
      <c r="F72" s="120" t="s">
        <v>482</v>
      </c>
      <c r="G72" s="120"/>
      <c r="H72" s="121">
        <v>2531</v>
      </c>
      <c r="I72" s="123" t="s">
        <v>83</v>
      </c>
      <c r="J72" s="94">
        <v>1000</v>
      </c>
      <c r="K72" s="94"/>
      <c r="L72" s="94"/>
      <c r="M72" s="94">
        <f t="shared" si="21"/>
        <v>1000</v>
      </c>
      <c r="N72" s="94">
        <v>3000</v>
      </c>
      <c r="O72" s="94"/>
      <c r="P72" s="94"/>
      <c r="Q72" s="94">
        <v>3000</v>
      </c>
      <c r="R72" s="94"/>
      <c r="S72" s="94"/>
      <c r="T72" s="94">
        <v>3000</v>
      </c>
      <c r="U72" s="94"/>
      <c r="V72" s="94"/>
      <c r="W72" s="94">
        <v>3000</v>
      </c>
    </row>
    <row r="73" spans="1:24" ht="15.75" x14ac:dyDescent="0.25">
      <c r="A73" s="119"/>
      <c r="B73" s="90"/>
      <c r="C73" s="90"/>
      <c r="D73" s="120"/>
      <c r="E73" s="120"/>
      <c r="F73" s="223" t="s">
        <v>482</v>
      </c>
      <c r="G73" s="223"/>
      <c r="H73" s="269">
        <v>2611</v>
      </c>
      <c r="I73" s="127" t="s">
        <v>436</v>
      </c>
      <c r="J73" s="226">
        <v>148000</v>
      </c>
      <c r="K73" s="226"/>
      <c r="L73" s="226"/>
      <c r="M73" s="94">
        <f t="shared" si="21"/>
        <v>148000</v>
      </c>
      <c r="N73" s="94">
        <v>220000</v>
      </c>
      <c r="O73" s="94"/>
      <c r="P73" s="94"/>
      <c r="Q73" s="94">
        <v>235449.99</v>
      </c>
      <c r="R73" s="94"/>
      <c r="S73" s="94"/>
      <c r="T73" s="94">
        <v>165500</v>
      </c>
      <c r="U73" s="94"/>
      <c r="V73" s="94"/>
      <c r="W73" s="94">
        <v>165500</v>
      </c>
    </row>
    <row r="74" spans="1:24" ht="15.75" x14ac:dyDescent="0.25">
      <c r="A74" s="119"/>
      <c r="B74" s="90"/>
      <c r="C74" s="90"/>
      <c r="D74" s="120"/>
      <c r="E74" s="120" t="s">
        <v>482</v>
      </c>
      <c r="F74" s="120" t="s">
        <v>482</v>
      </c>
      <c r="G74" s="120"/>
      <c r="H74" s="121">
        <v>2711</v>
      </c>
      <c r="I74" s="122" t="s">
        <v>402</v>
      </c>
      <c r="J74" s="94">
        <v>20000</v>
      </c>
      <c r="K74" s="94"/>
      <c r="L74" s="94"/>
      <c r="M74" s="94">
        <f t="shared" si="21"/>
        <v>20000</v>
      </c>
      <c r="N74" s="94">
        <v>80000</v>
      </c>
      <c r="O74" s="94"/>
      <c r="P74" s="94"/>
      <c r="Q74" s="94">
        <v>80000</v>
      </c>
      <c r="R74" s="94"/>
      <c r="S74" s="94"/>
      <c r="T74" s="94">
        <v>80000</v>
      </c>
      <c r="U74" s="94"/>
      <c r="V74" s="94"/>
      <c r="W74" s="94">
        <v>80000</v>
      </c>
    </row>
    <row r="75" spans="1:24" ht="31.5" x14ac:dyDescent="0.25">
      <c r="A75" s="119"/>
      <c r="B75" s="90"/>
      <c r="C75" s="90"/>
      <c r="D75" s="120"/>
      <c r="E75" s="120" t="s">
        <v>482</v>
      </c>
      <c r="F75" s="120" t="s">
        <v>482</v>
      </c>
      <c r="G75" s="120"/>
      <c r="H75" s="126">
        <v>2931</v>
      </c>
      <c r="I75" s="140" t="s">
        <v>401</v>
      </c>
      <c r="J75" s="94">
        <v>4000</v>
      </c>
      <c r="K75" s="94"/>
      <c r="L75" s="94"/>
      <c r="M75" s="94">
        <f t="shared" si="21"/>
        <v>4000</v>
      </c>
      <c r="N75" s="94">
        <v>5000</v>
      </c>
      <c r="O75" s="94"/>
      <c r="P75" s="94"/>
      <c r="Q75" s="94">
        <v>5000</v>
      </c>
      <c r="R75" s="94">
        <v>20000</v>
      </c>
      <c r="S75" s="94"/>
      <c r="T75" s="94">
        <v>27000</v>
      </c>
      <c r="U75" s="94"/>
      <c r="V75" s="94"/>
      <c r="W75" s="94">
        <v>27000</v>
      </c>
    </row>
    <row r="76" spans="1:24" ht="31.5" x14ac:dyDescent="0.25">
      <c r="A76" s="119"/>
      <c r="B76" s="90"/>
      <c r="C76" s="90"/>
      <c r="D76" s="120"/>
      <c r="E76" s="120" t="s">
        <v>482</v>
      </c>
      <c r="F76" s="120" t="s">
        <v>482</v>
      </c>
      <c r="G76" s="120"/>
      <c r="H76" s="126">
        <v>2941</v>
      </c>
      <c r="I76" s="140" t="s">
        <v>421</v>
      </c>
      <c r="J76" s="94">
        <v>10000</v>
      </c>
      <c r="K76" s="94"/>
      <c r="L76" s="94"/>
      <c r="M76" s="94">
        <f t="shared" si="21"/>
        <v>10000</v>
      </c>
      <c r="N76" s="94">
        <v>18000</v>
      </c>
      <c r="O76" s="94">
        <v>50000</v>
      </c>
      <c r="P76" s="94"/>
      <c r="Q76" s="94">
        <v>38000</v>
      </c>
      <c r="R76" s="94"/>
      <c r="S76" s="94">
        <v>20000</v>
      </c>
      <c r="T76" s="94">
        <v>18000</v>
      </c>
      <c r="U76" s="94"/>
      <c r="V76" s="94"/>
      <c r="W76" s="94">
        <v>18000</v>
      </c>
    </row>
    <row r="77" spans="1:24" ht="15.75" x14ac:dyDescent="0.25">
      <c r="A77" s="119"/>
      <c r="B77" s="90"/>
      <c r="C77" s="90"/>
      <c r="D77" s="120"/>
      <c r="E77" s="120"/>
      <c r="F77" s="223" t="s">
        <v>482</v>
      </c>
      <c r="G77" s="223"/>
      <c r="H77" s="270">
        <v>2961</v>
      </c>
      <c r="I77" s="124" t="s">
        <v>409</v>
      </c>
      <c r="J77" s="226">
        <v>63000</v>
      </c>
      <c r="K77" s="226"/>
      <c r="L77" s="226"/>
      <c r="M77" s="94">
        <f t="shared" si="21"/>
        <v>63000</v>
      </c>
      <c r="N77" s="94">
        <v>63000</v>
      </c>
      <c r="O77" s="94">
        <v>50000</v>
      </c>
      <c r="P77" s="94"/>
      <c r="Q77" s="94">
        <v>128000</v>
      </c>
      <c r="R77" s="94"/>
      <c r="S77" s="94"/>
      <c r="T77" s="94">
        <v>128000</v>
      </c>
      <c r="U77" s="94">
        <v>72000</v>
      </c>
      <c r="V77" s="94"/>
      <c r="W77" s="94">
        <f>T77+U77-V77</f>
        <v>200000</v>
      </c>
      <c r="X77" t="s">
        <v>569</v>
      </c>
    </row>
    <row r="78" spans="1:24" ht="17.25" customHeight="1" x14ac:dyDescent="0.25">
      <c r="A78" s="119"/>
      <c r="B78" s="90"/>
      <c r="C78" s="90"/>
      <c r="D78" s="120"/>
      <c r="E78" s="120" t="s">
        <v>482</v>
      </c>
      <c r="F78" s="120" t="s">
        <v>482</v>
      </c>
      <c r="G78" s="120"/>
      <c r="H78" s="126">
        <v>3111</v>
      </c>
      <c r="I78" s="122" t="s">
        <v>312</v>
      </c>
      <c r="J78" s="94">
        <v>41760</v>
      </c>
      <c r="K78" s="94"/>
      <c r="L78" s="94"/>
      <c r="M78" s="94">
        <f t="shared" si="21"/>
        <v>41760</v>
      </c>
      <c r="N78" s="94">
        <v>57880</v>
      </c>
      <c r="O78" s="94"/>
      <c r="P78" s="94"/>
      <c r="Q78" s="94">
        <v>42880</v>
      </c>
      <c r="R78" s="94"/>
      <c r="S78" s="94"/>
      <c r="T78" s="94">
        <v>45880</v>
      </c>
      <c r="U78" s="94"/>
      <c r="V78" s="94"/>
      <c r="W78" s="94">
        <v>45880</v>
      </c>
    </row>
    <row r="79" spans="1:24" ht="15.75" x14ac:dyDescent="0.25">
      <c r="A79" s="119"/>
      <c r="B79" s="90"/>
      <c r="C79" s="90"/>
      <c r="D79" s="120"/>
      <c r="E79" s="120" t="s">
        <v>482</v>
      </c>
      <c r="F79" s="120" t="s">
        <v>482</v>
      </c>
      <c r="G79" s="120"/>
      <c r="H79" s="121">
        <v>3141</v>
      </c>
      <c r="I79" s="122" t="s">
        <v>97</v>
      </c>
      <c r="J79" s="94">
        <v>11000</v>
      </c>
      <c r="K79" s="94"/>
      <c r="L79" s="94"/>
      <c r="M79" s="94">
        <f t="shared" si="21"/>
        <v>11000</v>
      </c>
      <c r="N79" s="94">
        <v>11000</v>
      </c>
      <c r="O79" s="94"/>
      <c r="P79" s="94"/>
      <c r="Q79" s="94">
        <v>9000</v>
      </c>
      <c r="R79" s="94">
        <v>11300</v>
      </c>
      <c r="S79" s="94"/>
      <c r="T79" s="94">
        <v>20300</v>
      </c>
      <c r="U79" s="94"/>
      <c r="V79" s="94"/>
      <c r="W79" s="94">
        <v>20300</v>
      </c>
    </row>
    <row r="80" spans="1:24" ht="15.75" x14ac:dyDescent="0.25">
      <c r="A80" s="119"/>
      <c r="B80" s="90"/>
      <c r="C80" s="90"/>
      <c r="D80" s="120"/>
      <c r="E80" s="120" t="s">
        <v>482</v>
      </c>
      <c r="F80" s="120" t="s">
        <v>482</v>
      </c>
      <c r="G80" s="120"/>
      <c r="H80" s="121">
        <v>3151</v>
      </c>
      <c r="I80" s="122" t="s">
        <v>313</v>
      </c>
      <c r="J80" s="94">
        <v>36000</v>
      </c>
      <c r="K80" s="94"/>
      <c r="L80" s="94"/>
      <c r="M80" s="94">
        <f t="shared" si="21"/>
        <v>36000</v>
      </c>
      <c r="N80" s="94">
        <v>38000</v>
      </c>
      <c r="O80" s="94"/>
      <c r="P80" s="94"/>
      <c r="Q80" s="94">
        <v>30000</v>
      </c>
      <c r="R80" s="94"/>
      <c r="S80" s="94"/>
      <c r="T80" s="94">
        <v>20000</v>
      </c>
      <c r="U80" s="94"/>
      <c r="V80" s="94"/>
      <c r="W80" s="94">
        <v>20000</v>
      </c>
    </row>
    <row r="81" spans="1:23" ht="15.75" x14ac:dyDescent="0.25">
      <c r="A81" s="119"/>
      <c r="B81" s="90"/>
      <c r="C81" s="90"/>
      <c r="D81" s="120"/>
      <c r="E81" s="120" t="s">
        <v>477</v>
      </c>
      <c r="F81" s="120" t="s">
        <v>482</v>
      </c>
      <c r="G81" s="120"/>
      <c r="H81" s="125">
        <v>3311</v>
      </c>
      <c r="I81" s="122" t="s">
        <v>102</v>
      </c>
      <c r="J81" s="94">
        <v>5000</v>
      </c>
      <c r="K81" s="94"/>
      <c r="L81" s="94"/>
      <c r="M81" s="94">
        <f t="shared" si="21"/>
        <v>5000</v>
      </c>
      <c r="N81" s="94">
        <v>5000</v>
      </c>
      <c r="O81" s="94"/>
      <c r="P81" s="94"/>
      <c r="Q81" s="94">
        <v>5000</v>
      </c>
      <c r="R81" s="94"/>
      <c r="S81" s="94"/>
      <c r="T81" s="94">
        <v>10</v>
      </c>
      <c r="U81" s="94"/>
      <c r="V81" s="94"/>
      <c r="W81" s="94">
        <v>10</v>
      </c>
    </row>
    <row r="82" spans="1:23" ht="15.75" x14ac:dyDescent="0.25">
      <c r="A82" s="119"/>
      <c r="B82" s="90"/>
      <c r="C82" s="90"/>
      <c r="D82" s="120"/>
      <c r="E82" s="120"/>
      <c r="F82" s="223" t="s">
        <v>482</v>
      </c>
      <c r="G82" s="223"/>
      <c r="H82" s="224">
        <v>3451</v>
      </c>
      <c r="I82" s="128" t="s">
        <v>405</v>
      </c>
      <c r="J82" s="226">
        <v>50000</v>
      </c>
      <c r="K82" s="226"/>
      <c r="L82" s="226"/>
      <c r="M82" s="94">
        <f t="shared" si="21"/>
        <v>50000</v>
      </c>
      <c r="N82" s="94">
        <v>50000</v>
      </c>
      <c r="O82" s="94"/>
      <c r="P82" s="94"/>
      <c r="Q82" s="94">
        <v>35000</v>
      </c>
      <c r="R82" s="94"/>
      <c r="S82" s="94"/>
      <c r="T82" s="94">
        <v>40000</v>
      </c>
      <c r="U82" s="94">
        <v>50000</v>
      </c>
      <c r="V82" s="94"/>
      <c r="W82" s="94">
        <f>T82+U82-V82</f>
        <v>90000</v>
      </c>
    </row>
    <row r="83" spans="1:23" ht="15.75" x14ac:dyDescent="0.25">
      <c r="A83" s="119"/>
      <c r="B83" s="90"/>
      <c r="C83" s="90"/>
      <c r="D83" s="120"/>
      <c r="E83" s="120" t="s">
        <v>483</v>
      </c>
      <c r="F83" s="120" t="s">
        <v>482</v>
      </c>
      <c r="G83" s="120"/>
      <c r="H83" s="121">
        <v>3471</v>
      </c>
      <c r="I83" s="122" t="s">
        <v>422</v>
      </c>
      <c r="J83" s="94">
        <v>4000</v>
      </c>
      <c r="K83" s="94"/>
      <c r="L83" s="94"/>
      <c r="M83" s="94">
        <f t="shared" si="21"/>
        <v>4000</v>
      </c>
      <c r="N83" s="94">
        <v>4000</v>
      </c>
      <c r="O83" s="94"/>
      <c r="P83" s="94"/>
      <c r="Q83" s="94">
        <v>4000</v>
      </c>
      <c r="R83" s="94"/>
      <c r="S83" s="94"/>
      <c r="T83" s="94">
        <v>4000</v>
      </c>
      <c r="U83" s="94"/>
      <c r="V83" s="94"/>
      <c r="W83" s="94">
        <v>4000</v>
      </c>
    </row>
    <row r="84" spans="1:23" ht="15.75" x14ac:dyDescent="0.25">
      <c r="A84" s="119"/>
      <c r="B84" s="90"/>
      <c r="C84" s="90"/>
      <c r="D84" s="120"/>
      <c r="E84" s="120" t="s">
        <v>483</v>
      </c>
      <c r="F84" s="120" t="s">
        <v>482</v>
      </c>
      <c r="G84" s="120"/>
      <c r="H84" s="121">
        <v>3511</v>
      </c>
      <c r="I84" s="122" t="s">
        <v>406</v>
      </c>
      <c r="J84" s="94">
        <v>30000</v>
      </c>
      <c r="K84" s="94"/>
      <c r="L84" s="94"/>
      <c r="M84" s="94">
        <f t="shared" si="21"/>
        <v>30000</v>
      </c>
      <c r="N84" s="94">
        <v>30000</v>
      </c>
      <c r="O84" s="94"/>
      <c r="P84" s="94"/>
      <c r="Q84" s="94">
        <v>60000</v>
      </c>
      <c r="R84" s="94"/>
      <c r="S84" s="94"/>
      <c r="T84" s="94">
        <v>10000</v>
      </c>
      <c r="U84" s="94"/>
      <c r="V84" s="94"/>
      <c r="W84" s="94">
        <v>10000</v>
      </c>
    </row>
    <row r="85" spans="1:23" ht="31.5" x14ac:dyDescent="0.25">
      <c r="A85" s="119"/>
      <c r="B85" s="90"/>
      <c r="C85" s="90"/>
      <c r="D85" s="120"/>
      <c r="E85" s="120" t="s">
        <v>483</v>
      </c>
      <c r="F85" s="120" t="s">
        <v>482</v>
      </c>
      <c r="G85" s="120"/>
      <c r="H85" s="121">
        <v>3521</v>
      </c>
      <c r="I85" s="122" t="s">
        <v>451</v>
      </c>
      <c r="J85" s="94">
        <v>3000</v>
      </c>
      <c r="K85" s="94"/>
      <c r="L85" s="94"/>
      <c r="M85" s="94">
        <f t="shared" si="21"/>
        <v>3000</v>
      </c>
      <c r="N85" s="94">
        <v>3000</v>
      </c>
      <c r="O85" s="94"/>
      <c r="P85" s="94"/>
      <c r="Q85" s="94">
        <v>3000</v>
      </c>
      <c r="R85" s="94"/>
      <c r="S85" s="94"/>
      <c r="T85" s="94">
        <v>10</v>
      </c>
      <c r="U85" s="94"/>
      <c r="V85" s="94"/>
      <c r="W85" s="94">
        <v>10</v>
      </c>
    </row>
    <row r="86" spans="1:23" ht="31.5" x14ac:dyDescent="0.25">
      <c r="A86" s="119"/>
      <c r="B86" s="90"/>
      <c r="C86" s="90"/>
      <c r="D86" s="120"/>
      <c r="E86" s="120" t="s">
        <v>483</v>
      </c>
      <c r="F86" s="120" t="s">
        <v>482</v>
      </c>
      <c r="G86" s="120"/>
      <c r="H86" s="121">
        <v>3531</v>
      </c>
      <c r="I86" s="122" t="s">
        <v>444</v>
      </c>
      <c r="J86" s="94">
        <v>4000</v>
      </c>
      <c r="K86" s="94"/>
      <c r="L86" s="94"/>
      <c r="M86" s="94">
        <f t="shared" si="21"/>
        <v>4000</v>
      </c>
      <c r="N86" s="94">
        <v>4000</v>
      </c>
      <c r="O86" s="94"/>
      <c r="P86" s="94"/>
      <c r="Q86" s="94">
        <v>4000</v>
      </c>
      <c r="R86" s="94"/>
      <c r="S86" s="94"/>
      <c r="T86" s="94">
        <v>2000</v>
      </c>
      <c r="U86" s="94">
        <v>20000</v>
      </c>
      <c r="V86" s="94"/>
      <c r="W86" s="94">
        <f>T86+U86-V86</f>
        <v>22000</v>
      </c>
    </row>
    <row r="87" spans="1:23" ht="15.75" x14ac:dyDescent="0.25">
      <c r="A87" s="119"/>
      <c r="B87" s="90"/>
      <c r="C87" s="90"/>
      <c r="D87" s="120"/>
      <c r="E87" s="120"/>
      <c r="F87" s="223" t="s">
        <v>482</v>
      </c>
      <c r="G87" s="223"/>
      <c r="H87" s="224">
        <v>3551</v>
      </c>
      <c r="I87" s="128" t="s">
        <v>334</v>
      </c>
      <c r="J87" s="94">
        <v>64000</v>
      </c>
      <c r="K87" s="226"/>
      <c r="L87" s="226"/>
      <c r="M87" s="94">
        <f t="shared" si="21"/>
        <v>64000</v>
      </c>
      <c r="N87" s="94">
        <v>34000</v>
      </c>
      <c r="O87" s="94"/>
      <c r="P87" s="94"/>
      <c r="Q87" s="94">
        <v>74000</v>
      </c>
      <c r="R87" s="94"/>
      <c r="S87" s="94"/>
      <c r="T87" s="94">
        <v>104000</v>
      </c>
      <c r="U87" s="94">
        <v>60000</v>
      </c>
      <c r="V87" s="94"/>
      <c r="W87" s="94">
        <f>T87+U87-V87</f>
        <v>164000</v>
      </c>
    </row>
    <row r="88" spans="1:23" ht="31.5" x14ac:dyDescent="0.25">
      <c r="A88" s="119"/>
      <c r="B88" s="90"/>
      <c r="C88" s="90"/>
      <c r="D88" s="259"/>
      <c r="E88" s="259" t="s">
        <v>484</v>
      </c>
      <c r="F88" s="259" t="s">
        <v>482</v>
      </c>
      <c r="G88" s="259"/>
      <c r="H88" s="130">
        <v>3611</v>
      </c>
      <c r="I88" s="271" t="s">
        <v>423</v>
      </c>
      <c r="J88" s="262">
        <v>20000</v>
      </c>
      <c r="K88" s="262"/>
      <c r="L88" s="262"/>
      <c r="M88" s="94">
        <f t="shared" si="21"/>
        <v>20000</v>
      </c>
      <c r="N88" s="94">
        <v>20000</v>
      </c>
      <c r="O88" s="94"/>
      <c r="P88" s="94"/>
      <c r="Q88" s="94">
        <v>10000</v>
      </c>
      <c r="R88" s="94"/>
      <c r="S88" s="94"/>
      <c r="T88" s="94">
        <v>10</v>
      </c>
      <c r="U88" s="94"/>
      <c r="V88" s="94"/>
      <c r="W88" s="94">
        <v>10</v>
      </c>
    </row>
    <row r="89" spans="1:23" ht="15.75" x14ac:dyDescent="0.25">
      <c r="A89" s="119"/>
      <c r="B89" s="90"/>
      <c r="C89" s="90"/>
      <c r="D89" s="120"/>
      <c r="E89" s="120" t="s">
        <v>485</v>
      </c>
      <c r="F89" s="120" t="s">
        <v>482</v>
      </c>
      <c r="G89" s="120"/>
      <c r="H89" s="121">
        <v>3751</v>
      </c>
      <c r="I89" s="122" t="s">
        <v>424</v>
      </c>
      <c r="J89" s="94">
        <v>20000</v>
      </c>
      <c r="K89" s="94"/>
      <c r="L89" s="94"/>
      <c r="M89" s="94">
        <f t="shared" si="21"/>
        <v>20000</v>
      </c>
      <c r="N89" s="94">
        <v>20000</v>
      </c>
      <c r="O89" s="94"/>
      <c r="P89" s="94"/>
      <c r="Q89" s="94">
        <v>20000</v>
      </c>
      <c r="R89" s="94"/>
      <c r="S89" s="94"/>
      <c r="T89" s="94">
        <v>20000</v>
      </c>
      <c r="U89" s="94"/>
      <c r="V89" s="94"/>
      <c r="W89" s="94">
        <v>20000</v>
      </c>
    </row>
    <row r="90" spans="1:23" ht="15.75" x14ac:dyDescent="0.25">
      <c r="A90" s="119"/>
      <c r="B90" s="90"/>
      <c r="C90" s="90"/>
      <c r="D90" s="120"/>
      <c r="E90" s="120" t="s">
        <v>485</v>
      </c>
      <c r="F90" s="120" t="s">
        <v>482</v>
      </c>
      <c r="G90" s="120"/>
      <c r="H90" s="121">
        <v>3821</v>
      </c>
      <c r="I90" s="122" t="s">
        <v>445</v>
      </c>
      <c r="J90" s="94">
        <v>80000</v>
      </c>
      <c r="K90" s="94"/>
      <c r="L90" s="94"/>
      <c r="M90" s="94">
        <f t="shared" si="21"/>
        <v>80000</v>
      </c>
      <c r="N90" s="94">
        <v>100800</v>
      </c>
      <c r="O90" s="94"/>
      <c r="P90" s="94"/>
      <c r="Q90" s="94">
        <v>100800</v>
      </c>
      <c r="R90" s="94">
        <v>19200</v>
      </c>
      <c r="S90" s="94"/>
      <c r="T90" s="94">
        <v>160000</v>
      </c>
      <c r="U90" s="94"/>
      <c r="V90" s="94"/>
      <c r="W90" s="94">
        <v>160000</v>
      </c>
    </row>
    <row r="91" spans="1:23" ht="15.75" x14ac:dyDescent="0.25">
      <c r="A91" s="119"/>
      <c r="B91" s="90"/>
      <c r="C91" s="90"/>
      <c r="D91" s="120"/>
      <c r="E91" s="120"/>
      <c r="F91" s="223" t="s">
        <v>482</v>
      </c>
      <c r="G91" s="223"/>
      <c r="H91" s="224">
        <v>3921</v>
      </c>
      <c r="I91" s="128" t="s">
        <v>121</v>
      </c>
      <c r="J91" s="94">
        <v>2200</v>
      </c>
      <c r="K91" s="94">
        <v>3000</v>
      </c>
      <c r="L91" s="226"/>
      <c r="M91" s="94">
        <f t="shared" si="21"/>
        <v>5200</v>
      </c>
      <c r="N91" s="94">
        <v>5200</v>
      </c>
      <c r="O91" s="94"/>
      <c r="P91" s="94"/>
      <c r="Q91" s="94">
        <v>200</v>
      </c>
      <c r="R91" s="94"/>
      <c r="S91" s="94"/>
      <c r="T91" s="94">
        <v>200</v>
      </c>
      <c r="U91" s="94"/>
      <c r="V91" s="94"/>
      <c r="W91" s="94">
        <v>200</v>
      </c>
    </row>
    <row r="92" spans="1:23" ht="15.75" x14ac:dyDescent="0.25">
      <c r="A92" s="119"/>
      <c r="B92" s="90"/>
      <c r="C92" s="90"/>
      <c r="D92" s="120"/>
      <c r="E92" s="120" t="s">
        <v>487</v>
      </c>
      <c r="F92" s="120" t="s">
        <v>482</v>
      </c>
      <c r="G92" s="120"/>
      <c r="H92" s="121">
        <v>3991</v>
      </c>
      <c r="I92" s="122" t="s">
        <v>120</v>
      </c>
      <c r="J92" s="94">
        <v>13000</v>
      </c>
      <c r="K92" s="94"/>
      <c r="L92" s="94"/>
      <c r="M92" s="94">
        <f t="shared" si="21"/>
        <v>13000</v>
      </c>
      <c r="N92" s="94">
        <v>28000</v>
      </c>
      <c r="O92" s="94"/>
      <c r="P92" s="94"/>
      <c r="Q92" s="94">
        <v>25000</v>
      </c>
      <c r="R92" s="94"/>
      <c r="S92" s="94"/>
      <c r="T92" s="94">
        <v>30000</v>
      </c>
      <c r="U92" s="94"/>
      <c r="V92" s="94"/>
      <c r="W92" s="94">
        <v>30000</v>
      </c>
    </row>
    <row r="93" spans="1:23" ht="15.75" x14ac:dyDescent="0.25">
      <c r="A93" s="119"/>
      <c r="B93" s="90"/>
      <c r="C93" s="90"/>
      <c r="D93" s="120"/>
      <c r="E93" s="120" t="s">
        <v>487</v>
      </c>
      <c r="F93" s="120" t="s">
        <v>482</v>
      </c>
      <c r="G93" s="120"/>
      <c r="H93" s="121">
        <v>5111</v>
      </c>
      <c r="I93" s="122" t="s">
        <v>129</v>
      </c>
      <c r="J93" s="94">
        <v>10000</v>
      </c>
      <c r="K93" s="94">
        <v>15000</v>
      </c>
      <c r="L93" s="94"/>
      <c r="M93" s="94">
        <f t="shared" si="21"/>
        <v>25000</v>
      </c>
      <c r="N93" s="94">
        <v>65000</v>
      </c>
      <c r="O93" s="94"/>
      <c r="P93" s="94"/>
      <c r="Q93" s="94">
        <v>20000</v>
      </c>
      <c r="R93" s="94">
        <v>15000</v>
      </c>
      <c r="S93" s="94"/>
      <c r="T93" s="94">
        <v>10000</v>
      </c>
      <c r="U93" s="94">
        <v>20000</v>
      </c>
      <c r="V93" s="94"/>
      <c r="W93" s="94">
        <f>T93+U93-V93</f>
        <v>30000</v>
      </c>
    </row>
    <row r="94" spans="1:23" ht="15.75" x14ac:dyDescent="0.25">
      <c r="A94" s="119"/>
      <c r="B94" s="90"/>
      <c r="C94" s="90"/>
      <c r="D94" s="120"/>
      <c r="E94" s="120"/>
      <c r="F94" s="120" t="s">
        <v>482</v>
      </c>
      <c r="G94" s="120"/>
      <c r="H94" s="121">
        <v>5411</v>
      </c>
      <c r="I94" s="122" t="s">
        <v>571</v>
      </c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>
        <v>0</v>
      </c>
      <c r="U94" s="94">
        <v>490000</v>
      </c>
      <c r="V94" s="94"/>
      <c r="W94" s="94">
        <f>T94+U94-V94</f>
        <v>490000</v>
      </c>
    </row>
    <row r="95" spans="1:23" ht="15.75" x14ac:dyDescent="0.25">
      <c r="A95" s="131"/>
      <c r="B95" s="132"/>
      <c r="C95" s="90"/>
      <c r="D95" s="120"/>
      <c r="E95" s="120" t="s">
        <v>487</v>
      </c>
      <c r="F95" s="120" t="s">
        <v>482</v>
      </c>
      <c r="G95" s="120"/>
      <c r="H95" s="121">
        <v>6221</v>
      </c>
      <c r="I95" s="122" t="s">
        <v>140</v>
      </c>
      <c r="J95" s="94">
        <v>0</v>
      </c>
      <c r="K95" s="94"/>
      <c r="L95" s="94"/>
      <c r="M95" s="94">
        <f t="shared" si="21"/>
        <v>0</v>
      </c>
      <c r="N95" s="94">
        <v>500000</v>
      </c>
      <c r="O95" s="94"/>
      <c r="P95" s="94">
        <v>490000</v>
      </c>
      <c r="Q95" s="94">
        <v>1000</v>
      </c>
      <c r="R95" s="94"/>
      <c r="S95" s="94"/>
      <c r="T95" s="94">
        <v>10</v>
      </c>
      <c r="U95" s="94"/>
      <c r="V95" s="94"/>
      <c r="W95" s="94">
        <v>10</v>
      </c>
    </row>
    <row r="96" spans="1:23" ht="15.75" x14ac:dyDescent="0.25">
      <c r="A96" s="220"/>
      <c r="B96" s="220"/>
      <c r="C96" s="220"/>
      <c r="D96" s="220"/>
      <c r="E96" s="220" t="s">
        <v>488</v>
      </c>
      <c r="F96" s="220" t="s">
        <v>486</v>
      </c>
      <c r="G96" s="219"/>
      <c r="H96" s="221"/>
      <c r="I96" s="169" t="s">
        <v>518</v>
      </c>
      <c r="J96" s="222">
        <f>J97</f>
        <v>38000</v>
      </c>
      <c r="K96" s="222">
        <f t="shared" ref="K96:W96" si="22">K97</f>
        <v>0</v>
      </c>
      <c r="L96" s="222">
        <f t="shared" si="22"/>
        <v>0</v>
      </c>
      <c r="M96" s="222">
        <f t="shared" si="22"/>
        <v>38000</v>
      </c>
      <c r="N96" s="222">
        <v>65000</v>
      </c>
      <c r="O96" s="222">
        <f t="shared" si="22"/>
        <v>40000</v>
      </c>
      <c r="P96" s="222">
        <f t="shared" si="22"/>
        <v>0</v>
      </c>
      <c r="Q96" s="222">
        <f t="shared" si="22"/>
        <v>79000</v>
      </c>
      <c r="R96" s="222">
        <f t="shared" si="22"/>
        <v>5000</v>
      </c>
      <c r="S96" s="222">
        <f t="shared" si="22"/>
        <v>0</v>
      </c>
      <c r="T96" s="222">
        <f t="shared" si="22"/>
        <v>80000</v>
      </c>
      <c r="U96" s="222">
        <f t="shared" si="22"/>
        <v>0</v>
      </c>
      <c r="V96" s="222">
        <f t="shared" si="22"/>
        <v>0</v>
      </c>
      <c r="W96" s="222">
        <f t="shared" si="22"/>
        <v>80000</v>
      </c>
    </row>
    <row r="97" spans="1:23" ht="15.75" x14ac:dyDescent="0.25">
      <c r="A97" s="131"/>
      <c r="B97" s="90"/>
      <c r="C97" s="90"/>
      <c r="D97" s="120"/>
      <c r="E97" s="120"/>
      <c r="F97" s="120"/>
      <c r="G97" s="223" t="s">
        <v>516</v>
      </c>
      <c r="H97" s="224"/>
      <c r="I97" s="225" t="s">
        <v>391</v>
      </c>
      <c r="J97" s="226">
        <f>SUM(J98:J101)</f>
        <v>38000</v>
      </c>
      <c r="K97" s="226">
        <f>SUM(K98:K101)</f>
        <v>0</v>
      </c>
      <c r="L97" s="226">
        <f>SUM(L98:L101)</f>
        <v>0</v>
      </c>
      <c r="M97" s="226">
        <f>SUM(M98:M101)</f>
        <v>38000</v>
      </c>
      <c r="N97" s="226">
        <v>65000</v>
      </c>
      <c r="O97" s="226">
        <f t="shared" ref="O97:T97" si="23">SUM(O98:O101)</f>
        <v>40000</v>
      </c>
      <c r="P97" s="226">
        <f t="shared" si="23"/>
        <v>0</v>
      </c>
      <c r="Q97" s="226">
        <f t="shared" si="23"/>
        <v>79000</v>
      </c>
      <c r="R97" s="226">
        <f t="shared" si="23"/>
        <v>5000</v>
      </c>
      <c r="S97" s="226">
        <f t="shared" si="23"/>
        <v>0</v>
      </c>
      <c r="T97" s="226">
        <f t="shared" si="23"/>
        <v>80000</v>
      </c>
      <c r="U97" s="226">
        <f t="shared" ref="U97:W97" si="24">SUM(U98:U101)</f>
        <v>0</v>
      </c>
      <c r="V97" s="226">
        <f t="shared" si="24"/>
        <v>0</v>
      </c>
      <c r="W97" s="226">
        <f t="shared" si="24"/>
        <v>80000</v>
      </c>
    </row>
    <row r="98" spans="1:23" ht="15.75" x14ac:dyDescent="0.25">
      <c r="A98" s="119"/>
      <c r="B98" s="90"/>
      <c r="C98" s="90"/>
      <c r="D98" s="120"/>
      <c r="E98" s="120" t="s">
        <v>486</v>
      </c>
      <c r="F98" s="120" t="s">
        <v>486</v>
      </c>
      <c r="G98" s="120"/>
      <c r="H98" s="121">
        <v>2111</v>
      </c>
      <c r="I98" s="122" t="s">
        <v>416</v>
      </c>
      <c r="J98" s="94">
        <v>8000</v>
      </c>
      <c r="K98" s="94"/>
      <c r="L98" s="94"/>
      <c r="M98" s="94">
        <f>J98+K98-L98</f>
        <v>8000</v>
      </c>
      <c r="N98" s="94">
        <v>20000</v>
      </c>
      <c r="O98" s="94"/>
      <c r="P98" s="94"/>
      <c r="Q98" s="94">
        <v>20000</v>
      </c>
      <c r="R98" s="94"/>
      <c r="S98" s="94"/>
      <c r="T98" s="94">
        <v>15000</v>
      </c>
      <c r="U98" s="94"/>
      <c r="V98" s="94"/>
      <c r="W98" s="94">
        <v>15000</v>
      </c>
    </row>
    <row r="99" spans="1:23" ht="15.75" x14ac:dyDescent="0.25">
      <c r="A99" s="119"/>
      <c r="B99" s="90"/>
      <c r="C99" s="90"/>
      <c r="D99" s="120"/>
      <c r="E99" s="120" t="s">
        <v>486</v>
      </c>
      <c r="F99" s="120" t="s">
        <v>486</v>
      </c>
      <c r="G99" s="120"/>
      <c r="H99" s="121">
        <v>2151</v>
      </c>
      <c r="I99" s="122" t="s">
        <v>71</v>
      </c>
      <c r="J99" s="94">
        <v>5000</v>
      </c>
      <c r="K99" s="94"/>
      <c r="L99" s="94"/>
      <c r="M99" s="94">
        <f t="shared" ref="M99:M101" si="25">J99+K99-L99</f>
        <v>5000</v>
      </c>
      <c r="N99" s="94">
        <v>30000</v>
      </c>
      <c r="O99" s="94"/>
      <c r="P99" s="94"/>
      <c r="Q99" s="94">
        <v>15000</v>
      </c>
      <c r="R99" s="94"/>
      <c r="S99" s="94"/>
      <c r="T99" s="94">
        <v>15000</v>
      </c>
      <c r="U99" s="94"/>
      <c r="V99" s="94"/>
      <c r="W99" s="94">
        <v>15000</v>
      </c>
    </row>
    <row r="100" spans="1:23" ht="15.75" x14ac:dyDescent="0.25">
      <c r="A100" s="119"/>
      <c r="B100" s="90"/>
      <c r="C100" s="90"/>
      <c r="D100" s="120"/>
      <c r="E100" s="120" t="s">
        <v>486</v>
      </c>
      <c r="F100" s="120" t="s">
        <v>486</v>
      </c>
      <c r="G100" s="120"/>
      <c r="H100" s="121">
        <v>2171</v>
      </c>
      <c r="I100" s="122" t="s">
        <v>425</v>
      </c>
      <c r="J100" s="94">
        <v>8000</v>
      </c>
      <c r="K100" s="94"/>
      <c r="L100" s="94"/>
      <c r="M100" s="94">
        <f t="shared" si="25"/>
        <v>8000</v>
      </c>
      <c r="N100" s="94">
        <v>15000</v>
      </c>
      <c r="O100" s="94"/>
      <c r="P100" s="94"/>
      <c r="Q100" s="94">
        <v>4000</v>
      </c>
      <c r="R100" s="94"/>
      <c r="S100" s="94"/>
      <c r="T100" s="94">
        <v>4000</v>
      </c>
      <c r="U100" s="94"/>
      <c r="V100" s="94"/>
      <c r="W100" s="94">
        <v>4000</v>
      </c>
    </row>
    <row r="101" spans="1:23" ht="15.75" x14ac:dyDescent="0.25">
      <c r="A101" s="119"/>
      <c r="B101" s="90"/>
      <c r="C101" s="90"/>
      <c r="D101" s="120"/>
      <c r="E101" s="120" t="s">
        <v>480</v>
      </c>
      <c r="F101" s="120" t="s">
        <v>486</v>
      </c>
      <c r="G101" s="120"/>
      <c r="H101" s="121">
        <v>4411</v>
      </c>
      <c r="I101" s="122" t="s">
        <v>510</v>
      </c>
      <c r="J101" s="94">
        <v>17000</v>
      </c>
      <c r="K101" s="94"/>
      <c r="L101" s="94"/>
      <c r="M101" s="94">
        <f t="shared" si="25"/>
        <v>17000</v>
      </c>
      <c r="N101" s="94">
        <v>0</v>
      </c>
      <c r="O101" s="94">
        <v>40000</v>
      </c>
      <c r="P101" s="94"/>
      <c r="Q101" s="94">
        <v>40000</v>
      </c>
      <c r="R101" s="94">
        <v>5000</v>
      </c>
      <c r="S101" s="94"/>
      <c r="T101" s="94">
        <v>46000</v>
      </c>
      <c r="U101" s="94"/>
      <c r="V101" s="94"/>
      <c r="W101" s="94">
        <v>46000</v>
      </c>
    </row>
    <row r="102" spans="1:23" ht="15.75" x14ac:dyDescent="0.25">
      <c r="A102" s="246"/>
      <c r="B102" s="246"/>
      <c r="C102" s="246"/>
      <c r="D102" s="252" t="s">
        <v>514</v>
      </c>
      <c r="E102" s="167"/>
      <c r="F102" s="252"/>
      <c r="G102" s="247"/>
      <c r="H102" s="248"/>
      <c r="I102" s="249" t="s">
        <v>427</v>
      </c>
      <c r="J102" s="250">
        <f>J103</f>
        <v>878038.51296831178</v>
      </c>
      <c r="K102" s="250">
        <f t="shared" ref="K102:P103" si="26">K103</f>
        <v>670000</v>
      </c>
      <c r="L102" s="250">
        <f t="shared" si="26"/>
        <v>0</v>
      </c>
      <c r="M102" s="250">
        <f t="shared" si="26"/>
        <v>1548038.5129683118</v>
      </c>
      <c r="N102" s="250">
        <v>1849412.518840536</v>
      </c>
      <c r="O102" s="250">
        <f t="shared" ref="O102:W103" si="27">O103</f>
        <v>933084.77</v>
      </c>
      <c r="P102" s="250">
        <f t="shared" si="27"/>
        <v>0</v>
      </c>
      <c r="Q102" s="250">
        <f t="shared" si="27"/>
        <v>1850153.1276429505</v>
      </c>
      <c r="R102" s="250">
        <f t="shared" si="27"/>
        <v>216325.44</v>
      </c>
      <c r="S102" s="250">
        <f t="shared" si="27"/>
        <v>200000</v>
      </c>
      <c r="T102" s="250">
        <f t="shared" si="27"/>
        <v>2290312.1685614488</v>
      </c>
      <c r="U102" s="250">
        <f t="shared" si="27"/>
        <v>300000</v>
      </c>
      <c r="V102" s="250">
        <f t="shared" si="27"/>
        <v>0</v>
      </c>
      <c r="W102" s="250">
        <f t="shared" si="27"/>
        <v>2590312.1685614488</v>
      </c>
    </row>
    <row r="103" spans="1:23" ht="31.5" x14ac:dyDescent="0.25">
      <c r="A103" s="219"/>
      <c r="B103" s="219"/>
      <c r="C103" s="219"/>
      <c r="D103" s="220"/>
      <c r="E103" s="220" t="s">
        <v>488</v>
      </c>
      <c r="F103" s="220" t="s">
        <v>488</v>
      </c>
      <c r="G103" s="219"/>
      <c r="H103" s="221"/>
      <c r="I103" s="169" t="s">
        <v>524</v>
      </c>
      <c r="J103" s="222">
        <f>J104</f>
        <v>878038.51296831178</v>
      </c>
      <c r="K103" s="222">
        <f t="shared" si="26"/>
        <v>670000</v>
      </c>
      <c r="L103" s="222">
        <f t="shared" si="26"/>
        <v>0</v>
      </c>
      <c r="M103" s="222">
        <f t="shared" si="26"/>
        <v>1548038.5129683118</v>
      </c>
      <c r="N103" s="222">
        <v>1849412.518840536</v>
      </c>
      <c r="O103" s="222">
        <f t="shared" si="26"/>
        <v>933084.77</v>
      </c>
      <c r="P103" s="222">
        <f t="shared" si="26"/>
        <v>0</v>
      </c>
      <c r="Q103" s="222">
        <f t="shared" si="27"/>
        <v>1850153.1276429505</v>
      </c>
      <c r="R103" s="222">
        <f t="shared" si="27"/>
        <v>216325.44</v>
      </c>
      <c r="S103" s="222">
        <f t="shared" si="27"/>
        <v>200000</v>
      </c>
      <c r="T103" s="222">
        <f t="shared" si="27"/>
        <v>2290312.1685614488</v>
      </c>
      <c r="U103" s="222">
        <f t="shared" si="27"/>
        <v>300000</v>
      </c>
      <c r="V103" s="222">
        <f t="shared" si="27"/>
        <v>0</v>
      </c>
      <c r="W103" s="222">
        <f t="shared" si="27"/>
        <v>2590312.1685614488</v>
      </c>
    </row>
    <row r="104" spans="1:23" ht="15.75" x14ac:dyDescent="0.25">
      <c r="A104" s="119"/>
      <c r="B104" s="90"/>
      <c r="C104" s="90"/>
      <c r="D104" s="120"/>
      <c r="E104" s="120"/>
      <c r="F104" s="120"/>
      <c r="G104" s="223" t="s">
        <v>516</v>
      </c>
      <c r="H104" s="224"/>
      <c r="I104" s="225" t="s">
        <v>391</v>
      </c>
      <c r="J104" s="226">
        <f>SUM(J105:J115)</f>
        <v>878038.51296831178</v>
      </c>
      <c r="K104" s="226">
        <f t="shared" ref="K104:M104" si="28">SUM(K105:K115)</f>
        <v>670000</v>
      </c>
      <c r="L104" s="226">
        <f t="shared" si="28"/>
        <v>0</v>
      </c>
      <c r="M104" s="226">
        <f t="shared" si="28"/>
        <v>1548038.5129683118</v>
      </c>
      <c r="N104" s="226">
        <v>1849412.518840536</v>
      </c>
      <c r="O104" s="226">
        <f t="shared" ref="O104:Q104" si="29">SUM(O105:O115)</f>
        <v>933084.77</v>
      </c>
      <c r="P104" s="226">
        <f t="shared" si="29"/>
        <v>0</v>
      </c>
      <c r="Q104" s="226">
        <f t="shared" si="29"/>
        <v>1850153.1276429505</v>
      </c>
      <c r="R104" s="226">
        <f t="shared" ref="R104:T104" si="30">SUM(R105:R115)</f>
        <v>216325.44</v>
      </c>
      <c r="S104" s="226">
        <f t="shared" si="30"/>
        <v>200000</v>
      </c>
      <c r="T104" s="226">
        <f t="shared" si="30"/>
        <v>2290312.1685614488</v>
      </c>
      <c r="U104" s="226">
        <f t="shared" ref="U104:W104" si="31">SUM(U105:U115)</f>
        <v>300000</v>
      </c>
      <c r="V104" s="226">
        <f t="shared" si="31"/>
        <v>0</v>
      </c>
      <c r="W104" s="226">
        <f t="shared" si="31"/>
        <v>2590312.1685614488</v>
      </c>
    </row>
    <row r="105" spans="1:23" ht="15.75" x14ac:dyDescent="0.25">
      <c r="A105" s="119"/>
      <c r="B105" s="90"/>
      <c r="C105" s="90"/>
      <c r="D105" s="120"/>
      <c r="E105" s="120" t="s">
        <v>488</v>
      </c>
      <c r="F105" s="120" t="s">
        <v>488</v>
      </c>
      <c r="G105" s="120"/>
      <c r="H105" s="121">
        <v>3271</v>
      </c>
      <c r="I105" s="122" t="s">
        <v>504</v>
      </c>
      <c r="J105" s="94">
        <v>0</v>
      </c>
      <c r="K105" s="94">
        <v>50000</v>
      </c>
      <c r="L105" s="94"/>
      <c r="M105" s="94">
        <f t="shared" ref="M105:M115" si="32">J105+K105-L105</f>
        <v>50000</v>
      </c>
      <c r="N105" s="94">
        <v>50000</v>
      </c>
      <c r="O105" s="94"/>
      <c r="P105" s="94"/>
      <c r="Q105" s="94">
        <v>100</v>
      </c>
      <c r="R105" s="94">
        <v>205000</v>
      </c>
      <c r="S105" s="94"/>
      <c r="T105" s="94">
        <v>205100</v>
      </c>
      <c r="U105" s="94">
        <v>27000</v>
      </c>
      <c r="V105" s="94"/>
      <c r="W105" s="94">
        <f>T105+U105-V105</f>
        <v>232100</v>
      </c>
    </row>
    <row r="106" spans="1:23" ht="15.75" x14ac:dyDescent="0.25">
      <c r="A106" s="119"/>
      <c r="B106" s="90"/>
      <c r="C106" s="90"/>
      <c r="D106" s="120"/>
      <c r="E106" s="120" t="s">
        <v>488</v>
      </c>
      <c r="F106" s="120" t="s">
        <v>488</v>
      </c>
      <c r="G106" s="120"/>
      <c r="H106" s="121">
        <v>3311</v>
      </c>
      <c r="I106" s="122" t="s">
        <v>102</v>
      </c>
      <c r="J106" s="94">
        <v>300000</v>
      </c>
      <c r="K106" s="94">
        <v>200000</v>
      </c>
      <c r="L106" s="94"/>
      <c r="M106" s="94">
        <f t="shared" si="32"/>
        <v>500000</v>
      </c>
      <c r="N106" s="94">
        <v>300000</v>
      </c>
      <c r="O106" s="94">
        <v>200000</v>
      </c>
      <c r="P106" s="94"/>
      <c r="Q106" s="94">
        <v>300000</v>
      </c>
      <c r="R106" s="94"/>
      <c r="S106" s="94"/>
      <c r="T106" s="94">
        <v>300000</v>
      </c>
      <c r="U106" s="94"/>
      <c r="V106" s="94"/>
      <c r="W106" s="94">
        <v>300000</v>
      </c>
    </row>
    <row r="107" spans="1:23" ht="31.5" x14ac:dyDescent="0.25">
      <c r="A107" s="257"/>
      <c r="B107" s="258"/>
      <c r="C107" s="258"/>
      <c r="D107" s="259"/>
      <c r="E107" s="259" t="s">
        <v>488</v>
      </c>
      <c r="F107" s="259" t="s">
        <v>488</v>
      </c>
      <c r="G107" s="259"/>
      <c r="H107" s="130">
        <v>3331</v>
      </c>
      <c r="I107" s="261" t="s">
        <v>431</v>
      </c>
      <c r="J107" s="262">
        <v>8000</v>
      </c>
      <c r="K107" s="262"/>
      <c r="L107" s="262"/>
      <c r="M107" s="94">
        <f t="shared" si="32"/>
        <v>8000</v>
      </c>
      <c r="N107" s="94">
        <v>8000</v>
      </c>
      <c r="O107" s="94"/>
      <c r="P107" s="94"/>
      <c r="Q107" s="94">
        <v>1000</v>
      </c>
      <c r="R107" s="94"/>
      <c r="S107" s="94"/>
      <c r="T107" s="94">
        <v>1000</v>
      </c>
      <c r="U107" s="94"/>
      <c r="V107" s="94"/>
      <c r="W107" s="94">
        <v>1000</v>
      </c>
    </row>
    <row r="108" spans="1:23" ht="15.75" x14ac:dyDescent="0.25">
      <c r="A108" s="119"/>
      <c r="B108" s="90"/>
      <c r="C108" s="90"/>
      <c r="D108" s="120"/>
      <c r="E108" s="120" t="s">
        <v>488</v>
      </c>
      <c r="F108" s="120" t="s">
        <v>488</v>
      </c>
      <c r="G108" s="120"/>
      <c r="H108" s="121">
        <v>3341</v>
      </c>
      <c r="I108" s="122" t="s">
        <v>105</v>
      </c>
      <c r="J108" s="94">
        <v>0</v>
      </c>
      <c r="K108" s="94"/>
      <c r="L108" s="94"/>
      <c r="M108" s="94">
        <f t="shared" si="32"/>
        <v>0</v>
      </c>
      <c r="N108" s="94">
        <v>5000</v>
      </c>
      <c r="O108" s="94"/>
      <c r="P108" s="94"/>
      <c r="Q108" s="94">
        <v>5000</v>
      </c>
      <c r="R108" s="94"/>
      <c r="S108" s="94"/>
      <c r="T108" s="94">
        <v>5000</v>
      </c>
      <c r="U108" s="94"/>
      <c r="V108" s="94"/>
      <c r="W108" s="94">
        <v>5000</v>
      </c>
    </row>
    <row r="109" spans="1:23" ht="15.75" x14ac:dyDescent="0.25">
      <c r="A109" s="119"/>
      <c r="B109" s="90"/>
      <c r="C109" s="90"/>
      <c r="D109" s="120"/>
      <c r="E109" s="120" t="s">
        <v>489</v>
      </c>
      <c r="F109" s="120" t="s">
        <v>488</v>
      </c>
      <c r="G109" s="120"/>
      <c r="H109" s="121">
        <v>3411</v>
      </c>
      <c r="I109" s="122" t="s">
        <v>108</v>
      </c>
      <c r="J109" s="94">
        <v>24500</v>
      </c>
      <c r="K109" s="94"/>
      <c r="L109" s="94"/>
      <c r="M109" s="94">
        <f t="shared" si="32"/>
        <v>24500</v>
      </c>
      <c r="N109" s="94">
        <v>32500</v>
      </c>
      <c r="O109" s="94"/>
      <c r="P109" s="94"/>
      <c r="Q109" s="94">
        <v>39000.01</v>
      </c>
      <c r="R109" s="94"/>
      <c r="S109" s="94"/>
      <c r="T109" s="94">
        <v>39000</v>
      </c>
      <c r="U109" s="94"/>
      <c r="V109" s="94"/>
      <c r="W109" s="94">
        <v>39000</v>
      </c>
    </row>
    <row r="110" spans="1:23" ht="15.75" x14ac:dyDescent="0.25">
      <c r="A110" s="119"/>
      <c r="B110" s="90"/>
      <c r="C110" s="90"/>
      <c r="D110" s="120"/>
      <c r="E110" s="120" t="s">
        <v>489</v>
      </c>
      <c r="F110" s="120" t="s">
        <v>488</v>
      </c>
      <c r="G110" s="120"/>
      <c r="H110" s="121">
        <v>3924</v>
      </c>
      <c r="I110" s="122" t="s">
        <v>428</v>
      </c>
      <c r="J110" s="94">
        <v>400000</v>
      </c>
      <c r="K110" s="94">
        <v>400000</v>
      </c>
      <c r="L110" s="94"/>
      <c r="M110" s="94">
        <f t="shared" si="32"/>
        <v>800000</v>
      </c>
      <c r="N110" s="94">
        <v>966074.52</v>
      </c>
      <c r="O110" s="94"/>
      <c r="P110" s="94"/>
      <c r="Q110" s="94">
        <v>966074.52</v>
      </c>
      <c r="R110" s="94"/>
      <c r="S110" s="94"/>
      <c r="T110" s="94">
        <v>1200000</v>
      </c>
      <c r="U110" s="94"/>
      <c r="V110" s="94"/>
      <c r="W110" s="94">
        <v>1200000</v>
      </c>
    </row>
    <row r="111" spans="1:23" ht="15.75" x14ac:dyDescent="0.25">
      <c r="A111" s="119"/>
      <c r="B111" s="90"/>
      <c r="C111" s="90"/>
      <c r="D111" s="120"/>
      <c r="E111" s="120" t="s">
        <v>490</v>
      </c>
      <c r="F111" s="120" t="s">
        <v>488</v>
      </c>
      <c r="G111" s="120"/>
      <c r="H111" s="121">
        <v>3925</v>
      </c>
      <c r="I111" s="122" t="s">
        <v>123</v>
      </c>
      <c r="J111" s="94">
        <v>10000</v>
      </c>
      <c r="K111" s="94"/>
      <c r="L111" s="94"/>
      <c r="M111" s="94">
        <f t="shared" si="32"/>
        <v>10000</v>
      </c>
      <c r="N111" s="94">
        <v>10000</v>
      </c>
      <c r="O111" s="94">
        <v>700000</v>
      </c>
      <c r="P111" s="94"/>
      <c r="Q111" s="94">
        <v>300000</v>
      </c>
      <c r="R111" s="94"/>
      <c r="S111" s="94">
        <v>200000</v>
      </c>
      <c r="T111" s="94">
        <v>200000</v>
      </c>
      <c r="U111" s="94"/>
      <c r="V111" s="94"/>
      <c r="W111" s="94">
        <v>200000</v>
      </c>
    </row>
    <row r="112" spans="1:23" ht="15.75" x14ac:dyDescent="0.25">
      <c r="A112" s="119"/>
      <c r="B112" s="90"/>
      <c r="C112" s="90"/>
      <c r="D112" s="120"/>
      <c r="E112" s="120" t="s">
        <v>490</v>
      </c>
      <c r="F112" s="120" t="s">
        <v>488</v>
      </c>
      <c r="G112" s="120"/>
      <c r="H112" s="121">
        <v>3951</v>
      </c>
      <c r="I112" s="141" t="s">
        <v>124</v>
      </c>
      <c r="J112" s="94">
        <v>2000</v>
      </c>
      <c r="K112" s="94"/>
      <c r="L112" s="94"/>
      <c r="M112" s="94">
        <f t="shared" si="32"/>
        <v>2000</v>
      </c>
      <c r="N112" s="94">
        <v>2000</v>
      </c>
      <c r="O112" s="94"/>
      <c r="P112" s="94"/>
      <c r="Q112" s="94">
        <v>8000</v>
      </c>
      <c r="R112" s="94"/>
      <c r="S112" s="94"/>
      <c r="T112" s="94">
        <v>8000</v>
      </c>
      <c r="U112" s="94"/>
      <c r="V112" s="94"/>
      <c r="W112" s="94">
        <v>8000</v>
      </c>
    </row>
    <row r="113" spans="1:26" ht="15.75" x14ac:dyDescent="0.25">
      <c r="A113" s="119"/>
      <c r="B113" s="90"/>
      <c r="C113" s="90"/>
      <c r="D113" s="120"/>
      <c r="E113" s="120" t="s">
        <v>490</v>
      </c>
      <c r="F113" s="120" t="s">
        <v>488</v>
      </c>
      <c r="G113" s="120"/>
      <c r="H113" s="121">
        <v>3981</v>
      </c>
      <c r="I113" s="122" t="s">
        <v>429</v>
      </c>
      <c r="J113" s="94">
        <v>126538.51296831178</v>
      </c>
      <c r="K113" s="94"/>
      <c r="L113" s="94"/>
      <c r="M113" s="94">
        <f t="shared" si="32"/>
        <v>126538.51296831178</v>
      </c>
      <c r="N113" s="94">
        <v>175837.99884053611</v>
      </c>
      <c r="O113" s="94">
        <v>3084.77</v>
      </c>
      <c r="P113" s="94"/>
      <c r="Q113" s="94">
        <v>185978.59764295054</v>
      </c>
      <c r="R113" s="94">
        <v>1325.44</v>
      </c>
      <c r="S113" s="94"/>
      <c r="T113" s="94">
        <f>'PLANTILLA 2025'!W49</f>
        <v>197212.16856144863</v>
      </c>
      <c r="U113" s="94"/>
      <c r="V113" s="94"/>
      <c r="W113" s="94">
        <f>'PLANTILLA 2025'!W49</f>
        <v>197212.16856144863</v>
      </c>
    </row>
    <row r="114" spans="1:26" ht="15.75" x14ac:dyDescent="0.25">
      <c r="A114" s="119"/>
      <c r="B114" s="90"/>
      <c r="C114" s="90"/>
      <c r="D114" s="120"/>
      <c r="E114" s="120" t="s">
        <v>490</v>
      </c>
      <c r="F114" s="120" t="s">
        <v>488</v>
      </c>
      <c r="G114" s="120"/>
      <c r="H114" s="121">
        <v>5151</v>
      </c>
      <c r="I114" s="122" t="s">
        <v>408</v>
      </c>
      <c r="J114" s="94">
        <v>0</v>
      </c>
      <c r="K114" s="94">
        <v>20000</v>
      </c>
      <c r="L114" s="94"/>
      <c r="M114" s="94">
        <f t="shared" si="32"/>
        <v>20000</v>
      </c>
      <c r="N114" s="94">
        <v>100000</v>
      </c>
      <c r="O114" s="94"/>
      <c r="P114" s="94"/>
      <c r="Q114" s="94">
        <v>15000</v>
      </c>
      <c r="R114" s="94">
        <v>10000</v>
      </c>
      <c r="S114" s="94"/>
      <c r="T114" s="94">
        <v>120000</v>
      </c>
      <c r="U114" s="94">
        <f>+Y114+Z114</f>
        <v>273000</v>
      </c>
      <c r="V114" s="94"/>
      <c r="W114" s="94">
        <f>T114+U114-V114</f>
        <v>393000</v>
      </c>
      <c r="Y114">
        <v>133000</v>
      </c>
      <c r="Z114">
        <v>140000</v>
      </c>
    </row>
    <row r="115" spans="1:26" ht="15.75" x14ac:dyDescent="0.25">
      <c r="A115" s="119"/>
      <c r="B115" s="90"/>
      <c r="C115" s="90"/>
      <c r="D115" s="120"/>
      <c r="E115" s="120" t="s">
        <v>491</v>
      </c>
      <c r="F115" s="120" t="s">
        <v>488</v>
      </c>
      <c r="G115" s="120"/>
      <c r="H115" s="121">
        <v>5911</v>
      </c>
      <c r="I115" s="122" t="s">
        <v>325</v>
      </c>
      <c r="J115" s="94">
        <v>7000</v>
      </c>
      <c r="K115" s="94"/>
      <c r="L115" s="94"/>
      <c r="M115" s="94">
        <f t="shared" si="32"/>
        <v>7000</v>
      </c>
      <c r="N115" s="94">
        <v>200000</v>
      </c>
      <c r="O115" s="94">
        <v>30000</v>
      </c>
      <c r="P115" s="94"/>
      <c r="Q115" s="94">
        <v>30000</v>
      </c>
      <c r="R115" s="94"/>
      <c r="S115" s="94"/>
      <c r="T115" s="94">
        <v>15000</v>
      </c>
      <c r="U115" s="94"/>
      <c r="V115" s="94"/>
      <c r="W115" s="94">
        <v>15000</v>
      </c>
    </row>
    <row r="116" spans="1:26" ht="15.75" x14ac:dyDescent="0.25">
      <c r="A116" s="246"/>
      <c r="B116" s="246"/>
      <c r="C116" s="246"/>
      <c r="D116" s="252" t="s">
        <v>515</v>
      </c>
      <c r="E116" s="166"/>
      <c r="F116" s="252"/>
      <c r="G116" s="252"/>
      <c r="H116" s="253"/>
      <c r="I116" s="249" t="s">
        <v>523</v>
      </c>
      <c r="J116" s="250">
        <f>J117+J143+J157+J167+J172</f>
        <v>7293120.222336309</v>
      </c>
      <c r="K116" s="250">
        <f>K117+K143+K157+K167+K172</f>
        <v>207000</v>
      </c>
      <c r="L116" s="250">
        <f>L117+L143+L157+L167+L172</f>
        <v>0</v>
      </c>
      <c r="M116" s="250">
        <f>M117+M143+M157+M167+M172</f>
        <v>7500120.222336309</v>
      </c>
      <c r="N116" s="250">
        <v>9537231.6872208286</v>
      </c>
      <c r="O116" s="250">
        <f t="shared" ref="O116:S116" si="33">O117+O143+O157+O167+O172</f>
        <v>1250000</v>
      </c>
      <c r="P116" s="250">
        <f t="shared" si="33"/>
        <v>50000</v>
      </c>
      <c r="Q116" s="250">
        <f t="shared" si="33"/>
        <v>9653011.1139657348</v>
      </c>
      <c r="R116" s="250">
        <f t="shared" si="33"/>
        <v>1498764.65</v>
      </c>
      <c r="S116" s="250">
        <f t="shared" si="33"/>
        <v>136675.83000000002</v>
      </c>
      <c r="T116" s="250">
        <f>T117+T143+T157+T167+T172</f>
        <v>11039145.672336308</v>
      </c>
      <c r="U116" s="250">
        <f>U117+U143+U157+U167+U172</f>
        <v>3263531.2</v>
      </c>
      <c r="V116" s="250">
        <f>V117+V143+V157+V167+V172</f>
        <v>0</v>
      </c>
      <c r="W116" s="250">
        <f>W117+W143+W157+W167+W172</f>
        <v>14302676.872336309</v>
      </c>
    </row>
    <row r="117" spans="1:26" ht="15.75" x14ac:dyDescent="0.25">
      <c r="A117" s="219"/>
      <c r="B117" s="219"/>
      <c r="C117" s="219"/>
      <c r="D117" s="220"/>
      <c r="E117" s="220" t="s">
        <v>492</v>
      </c>
      <c r="F117" s="220" t="s">
        <v>492</v>
      </c>
      <c r="G117" s="220"/>
      <c r="H117" s="228"/>
      <c r="I117" s="169" t="s">
        <v>517</v>
      </c>
      <c r="J117" s="222">
        <f>J118</f>
        <v>3339277.5823363084</v>
      </c>
      <c r="K117" s="222">
        <f t="shared" ref="K117:W117" si="34">K118</f>
        <v>72000</v>
      </c>
      <c r="L117" s="222">
        <f t="shared" si="34"/>
        <v>0</v>
      </c>
      <c r="M117" s="222">
        <f t="shared" si="34"/>
        <v>3411277.5823363084</v>
      </c>
      <c r="N117" s="222">
        <v>3277895.416835817</v>
      </c>
      <c r="O117" s="222">
        <f t="shared" si="34"/>
        <v>120000</v>
      </c>
      <c r="P117" s="222">
        <f t="shared" si="34"/>
        <v>0</v>
      </c>
      <c r="Q117" s="222">
        <f t="shared" si="34"/>
        <v>3156574.8435807237</v>
      </c>
      <c r="R117" s="222">
        <f t="shared" si="34"/>
        <v>43181.88</v>
      </c>
      <c r="S117" s="222">
        <f t="shared" si="34"/>
        <v>36675.83</v>
      </c>
      <c r="T117" s="222">
        <f t="shared" si="34"/>
        <v>3282972.3623363082</v>
      </c>
      <c r="U117" s="222">
        <f t="shared" si="34"/>
        <v>2913531.2</v>
      </c>
      <c r="V117" s="222">
        <f t="shared" si="34"/>
        <v>0</v>
      </c>
      <c r="W117" s="222">
        <f t="shared" si="34"/>
        <v>6196503.5623363089</v>
      </c>
    </row>
    <row r="118" spans="1:26" ht="15.75" x14ac:dyDescent="0.25">
      <c r="A118" s="119"/>
      <c r="B118" s="90"/>
      <c r="C118" s="90"/>
      <c r="D118" s="120"/>
      <c r="E118" s="120"/>
      <c r="F118" s="223"/>
      <c r="G118" s="223" t="s">
        <v>516</v>
      </c>
      <c r="H118" s="224"/>
      <c r="I118" s="225" t="s">
        <v>391</v>
      </c>
      <c r="J118" s="226">
        <f>SUM(J119:J142)</f>
        <v>3339277.5823363084</v>
      </c>
      <c r="K118" s="226">
        <f>SUM(K119:K142)</f>
        <v>72000</v>
      </c>
      <c r="L118" s="226">
        <f>SUM(L119:L142)</f>
        <v>0</v>
      </c>
      <c r="M118" s="226">
        <f>SUM(M119:M142)</f>
        <v>3411277.5823363084</v>
      </c>
      <c r="N118" s="226">
        <v>3277895.416835817</v>
      </c>
      <c r="O118" s="226">
        <f t="shared" ref="O118:T118" si="35">SUM(O119:O142)</f>
        <v>120000</v>
      </c>
      <c r="P118" s="226">
        <f t="shared" si="35"/>
        <v>0</v>
      </c>
      <c r="Q118" s="226">
        <f t="shared" si="35"/>
        <v>3156574.8435807237</v>
      </c>
      <c r="R118" s="226">
        <f t="shared" si="35"/>
        <v>43181.88</v>
      </c>
      <c r="S118" s="226">
        <f t="shared" si="35"/>
        <v>36675.83</v>
      </c>
      <c r="T118" s="226">
        <f t="shared" si="35"/>
        <v>3282972.3623363082</v>
      </c>
      <c r="U118" s="226">
        <f t="shared" ref="U118:W118" si="36">SUM(U119:U142)</f>
        <v>2913531.2</v>
      </c>
      <c r="V118" s="226">
        <f t="shared" si="36"/>
        <v>0</v>
      </c>
      <c r="W118" s="226">
        <f t="shared" si="36"/>
        <v>6196503.5623363089</v>
      </c>
    </row>
    <row r="119" spans="1:26" ht="15.75" x14ac:dyDescent="0.25">
      <c r="A119" s="119"/>
      <c r="B119" s="90"/>
      <c r="C119" s="90"/>
      <c r="D119" s="120"/>
      <c r="E119" s="120" t="s">
        <v>492</v>
      </c>
      <c r="F119" s="120" t="s">
        <v>492</v>
      </c>
      <c r="G119" s="120"/>
      <c r="H119" s="121">
        <v>1131</v>
      </c>
      <c r="I119" s="124" t="s">
        <v>52</v>
      </c>
      <c r="J119" s="94">
        <f>'PLANTILLA 2025'!I42</f>
        <v>1835319.2712927507</v>
      </c>
      <c r="K119" s="94"/>
      <c r="L119" s="94"/>
      <c r="M119" s="94">
        <f t="shared" ref="M119:M142" si="37">J119+K119-L119</f>
        <v>1835319.2712927507</v>
      </c>
      <c r="N119" s="94">
        <v>1696855.8351449249</v>
      </c>
      <c r="O119" s="94"/>
      <c r="P119" s="94"/>
      <c r="Q119" s="94">
        <v>1764730.0685507222</v>
      </c>
      <c r="R119" s="94"/>
      <c r="S119" s="94"/>
      <c r="T119" s="94">
        <f>'PLANTILLA 2025'!I42</f>
        <v>1835319.2712927507</v>
      </c>
      <c r="U119" s="94"/>
      <c r="V119" s="94"/>
      <c r="W119" s="94">
        <f>'PLANTILLA 2025'!I42</f>
        <v>1835319.2712927507</v>
      </c>
    </row>
    <row r="120" spans="1:26" ht="15.75" x14ac:dyDescent="0.25">
      <c r="A120" s="119"/>
      <c r="B120" s="90"/>
      <c r="C120" s="90"/>
      <c r="D120" s="120"/>
      <c r="E120" s="120" t="s">
        <v>492</v>
      </c>
      <c r="F120" s="120" t="s">
        <v>492</v>
      </c>
      <c r="G120" s="120"/>
      <c r="H120" s="121">
        <v>1321</v>
      </c>
      <c r="I120" s="124" t="s">
        <v>395</v>
      </c>
      <c r="J120" s="94">
        <f>'PLANTILLA 2025'!N42</f>
        <v>30186.172225209724</v>
      </c>
      <c r="K120" s="94"/>
      <c r="L120" s="94"/>
      <c r="M120" s="94">
        <f t="shared" si="37"/>
        <v>30186.172225209724</v>
      </c>
      <c r="N120" s="94">
        <v>27908.813078041527</v>
      </c>
      <c r="O120" s="94"/>
      <c r="P120" s="94"/>
      <c r="Q120" s="94">
        <v>29025.165601163193</v>
      </c>
      <c r="R120" s="94"/>
      <c r="S120" s="94"/>
      <c r="T120" s="94">
        <f>'PLANTILLA 2025'!N42</f>
        <v>30186.172225209724</v>
      </c>
      <c r="U120" s="94"/>
      <c r="V120" s="94"/>
      <c r="W120" s="94">
        <f>'PLANTILLA 2025'!N42</f>
        <v>30186.172225209724</v>
      </c>
    </row>
    <row r="121" spans="1:26" ht="15.75" x14ac:dyDescent="0.25">
      <c r="A121" s="119"/>
      <c r="B121" s="90"/>
      <c r="C121" s="90"/>
      <c r="D121" s="120"/>
      <c r="E121" s="120" t="s">
        <v>492</v>
      </c>
      <c r="F121" s="120" t="s">
        <v>492</v>
      </c>
      <c r="G121" s="120"/>
      <c r="H121" s="121">
        <v>1323</v>
      </c>
      <c r="I121" s="124" t="s">
        <v>58</v>
      </c>
      <c r="J121" s="94">
        <f>'PLANTILLA 2025'!O42</f>
        <v>226396.29168907294</v>
      </c>
      <c r="K121" s="94"/>
      <c r="L121" s="94"/>
      <c r="M121" s="94">
        <f t="shared" si="37"/>
        <v>226396.29168907294</v>
      </c>
      <c r="N121" s="94">
        <v>209316.0980853115</v>
      </c>
      <c r="O121" s="94"/>
      <c r="P121" s="94"/>
      <c r="Q121" s="94">
        <v>217688.74200872396</v>
      </c>
      <c r="R121" s="94"/>
      <c r="S121" s="94"/>
      <c r="T121" s="94">
        <f>'PLANTILLA 2025'!O42</f>
        <v>226396.29168907294</v>
      </c>
      <c r="U121" s="94"/>
      <c r="V121" s="94"/>
      <c r="W121" s="94">
        <f>'PLANTILLA 2025'!O42</f>
        <v>226396.29168907294</v>
      </c>
    </row>
    <row r="122" spans="1:26" ht="15.75" x14ac:dyDescent="0.25">
      <c r="A122" s="119"/>
      <c r="B122" s="90"/>
      <c r="C122" s="90"/>
      <c r="D122" s="120"/>
      <c r="E122" s="120" t="s">
        <v>492</v>
      </c>
      <c r="F122" s="120" t="s">
        <v>492</v>
      </c>
      <c r="G122" s="120"/>
      <c r="H122" s="121">
        <v>1413</v>
      </c>
      <c r="I122" s="124" t="s">
        <v>396</v>
      </c>
      <c r="J122" s="94">
        <f>'PLANTILLA 2025'!S42</f>
        <v>198900</v>
      </c>
      <c r="K122" s="94"/>
      <c r="L122" s="94"/>
      <c r="M122" s="94">
        <f t="shared" si="37"/>
        <v>198900</v>
      </c>
      <c r="N122" s="94">
        <v>160044.30411984</v>
      </c>
      <c r="O122" s="94"/>
      <c r="P122" s="94"/>
      <c r="Q122" s="94">
        <v>179550.07630647358</v>
      </c>
      <c r="R122" s="94">
        <v>19349.919999999998</v>
      </c>
      <c r="S122" s="94"/>
      <c r="T122" s="94">
        <f>'PLANTILLA 2025'!S42</f>
        <v>198900</v>
      </c>
      <c r="U122" s="94"/>
      <c r="V122" s="94"/>
      <c r="W122" s="94">
        <f>'PLANTILLA 2025'!S42</f>
        <v>198900</v>
      </c>
    </row>
    <row r="123" spans="1:26" ht="15.75" x14ac:dyDescent="0.25">
      <c r="A123" s="119"/>
      <c r="B123" s="90"/>
      <c r="C123" s="90"/>
      <c r="D123" s="120"/>
      <c r="E123" s="120" t="s">
        <v>492</v>
      </c>
      <c r="F123" s="120" t="s">
        <v>492</v>
      </c>
      <c r="G123" s="120"/>
      <c r="H123" s="121">
        <v>1421</v>
      </c>
      <c r="I123" s="124" t="s">
        <v>397</v>
      </c>
      <c r="J123" s="94">
        <f>'PLANTILLA 2025'!U42</f>
        <v>97176</v>
      </c>
      <c r="K123" s="94">
        <v>5000</v>
      </c>
      <c r="L123" s="94"/>
      <c r="M123" s="94">
        <f t="shared" si="37"/>
        <v>102176</v>
      </c>
      <c r="N123" s="94">
        <v>96872.910911040599</v>
      </c>
      <c r="O123" s="94"/>
      <c r="P123" s="94"/>
      <c r="Q123" s="94">
        <v>113851.82734748223</v>
      </c>
      <c r="R123" s="94"/>
      <c r="S123" s="94">
        <v>16675.830000000002</v>
      </c>
      <c r="T123" s="94">
        <f>'PLANTILLA 2025'!U42</f>
        <v>97176</v>
      </c>
      <c r="U123" s="94"/>
      <c r="V123" s="94"/>
      <c r="W123" s="94">
        <f>'PLANTILLA 2025'!U42</f>
        <v>97176</v>
      </c>
    </row>
    <row r="124" spans="1:26" ht="15.75" x14ac:dyDescent="0.25">
      <c r="A124" s="119"/>
      <c r="B124" s="90"/>
      <c r="C124" s="90"/>
      <c r="D124" s="120"/>
      <c r="E124" s="120" t="s">
        <v>492</v>
      </c>
      <c r="F124" s="120" t="s">
        <v>492</v>
      </c>
      <c r="G124" s="120"/>
      <c r="H124" s="121">
        <v>1431</v>
      </c>
      <c r="I124" s="124" t="s">
        <v>398</v>
      </c>
      <c r="J124" s="94">
        <f>'PLANTILLA 2025'!T42</f>
        <v>162022</v>
      </c>
      <c r="K124" s="94">
        <v>14000</v>
      </c>
      <c r="L124" s="94"/>
      <c r="M124" s="94">
        <f t="shared" si="37"/>
        <v>176022</v>
      </c>
      <c r="N124" s="94">
        <v>120275.03549142901</v>
      </c>
      <c r="O124" s="94"/>
      <c r="P124" s="94"/>
      <c r="Q124" s="94">
        <v>138190.03691108618</v>
      </c>
      <c r="R124" s="94">
        <v>23831.96</v>
      </c>
      <c r="S124" s="94"/>
      <c r="T124" s="94">
        <f>'PLANTILLA 2025'!T42</f>
        <v>162022</v>
      </c>
      <c r="U124" s="94"/>
      <c r="V124" s="94"/>
      <c r="W124" s="94">
        <f>'PLANTILLA 2025'!T42</f>
        <v>162022</v>
      </c>
    </row>
    <row r="125" spans="1:26" ht="15.75" x14ac:dyDescent="0.25">
      <c r="A125" s="119"/>
      <c r="B125" s="90"/>
      <c r="C125" s="90"/>
      <c r="D125" s="120"/>
      <c r="E125" s="120" t="s">
        <v>482</v>
      </c>
      <c r="F125" s="120" t="s">
        <v>492</v>
      </c>
      <c r="G125" s="120"/>
      <c r="H125" s="121">
        <v>1521</v>
      </c>
      <c r="I125" s="124" t="s">
        <v>306</v>
      </c>
      <c r="J125" s="94">
        <v>40000</v>
      </c>
      <c r="K125" s="94"/>
      <c r="L125" s="94"/>
      <c r="M125" s="94">
        <f t="shared" si="37"/>
        <v>40000</v>
      </c>
      <c r="N125" s="94">
        <v>12000</v>
      </c>
      <c r="O125" s="94"/>
      <c r="P125" s="94"/>
      <c r="Q125" s="94">
        <v>1000</v>
      </c>
      <c r="R125" s="94"/>
      <c r="S125" s="94"/>
      <c r="T125" s="94">
        <v>1000</v>
      </c>
      <c r="U125" s="94"/>
      <c r="V125" s="94"/>
      <c r="W125" s="94">
        <v>1000</v>
      </c>
    </row>
    <row r="126" spans="1:26" ht="15.75" x14ac:dyDescent="0.25">
      <c r="A126" s="119"/>
      <c r="B126" s="90"/>
      <c r="C126" s="90"/>
      <c r="D126" s="120"/>
      <c r="E126" s="120" t="s">
        <v>492</v>
      </c>
      <c r="F126" s="120" t="s">
        <v>492</v>
      </c>
      <c r="G126" s="120"/>
      <c r="H126" s="121">
        <v>1541</v>
      </c>
      <c r="I126" s="124" t="s">
        <v>307</v>
      </c>
      <c r="J126" s="94">
        <f>'PLANTILLA 2025'!J42</f>
        <v>32545.920000000002</v>
      </c>
      <c r="K126" s="94"/>
      <c r="L126" s="94"/>
      <c r="M126" s="94">
        <f t="shared" si="37"/>
        <v>32545.920000000002</v>
      </c>
      <c r="N126" s="94">
        <v>32545.920000000002</v>
      </c>
      <c r="O126" s="94"/>
      <c r="P126" s="94"/>
      <c r="Q126" s="94">
        <v>32545.920000000002</v>
      </c>
      <c r="R126" s="94"/>
      <c r="S126" s="94"/>
      <c r="T126" s="94">
        <f>'PLANTILLA 2025'!J42</f>
        <v>32545.920000000002</v>
      </c>
      <c r="U126" s="94"/>
      <c r="V126" s="94"/>
      <c r="W126" s="94">
        <f>'PLANTILLA 2025'!J42</f>
        <v>32545.920000000002</v>
      </c>
    </row>
    <row r="127" spans="1:26" ht="15.75" x14ac:dyDescent="0.25">
      <c r="A127" s="119"/>
      <c r="B127" s="90"/>
      <c r="C127" s="90"/>
      <c r="D127" s="120"/>
      <c r="E127" s="120" t="s">
        <v>492</v>
      </c>
      <c r="F127" s="120" t="s">
        <v>492</v>
      </c>
      <c r="G127" s="120"/>
      <c r="H127" s="121">
        <v>1592</v>
      </c>
      <c r="I127" s="124" t="s">
        <v>506</v>
      </c>
      <c r="J127" s="94">
        <f>'PLANTILLA 2025'!K42</f>
        <v>183531.92712927511</v>
      </c>
      <c r="K127" s="94"/>
      <c r="L127" s="94"/>
      <c r="M127" s="94">
        <f t="shared" si="37"/>
        <v>183531.92712927511</v>
      </c>
      <c r="N127" s="94">
        <v>169685.58351449249</v>
      </c>
      <c r="O127" s="94"/>
      <c r="P127" s="94"/>
      <c r="Q127" s="94">
        <v>176473.00685507222</v>
      </c>
      <c r="R127" s="94"/>
      <c r="S127" s="94"/>
      <c r="T127" s="94">
        <f>'PLANTILLA 2025'!K42</f>
        <v>183531.92712927511</v>
      </c>
      <c r="U127" s="94"/>
      <c r="V127" s="94"/>
      <c r="W127" s="94">
        <f>'PLANTILLA 2025'!K42</f>
        <v>183531.92712927511</v>
      </c>
    </row>
    <row r="128" spans="1:26" ht="15.75" x14ac:dyDescent="0.25">
      <c r="A128" s="119"/>
      <c r="B128" s="90"/>
      <c r="C128" s="90"/>
      <c r="D128" s="120"/>
      <c r="E128" s="120" t="s">
        <v>492</v>
      </c>
      <c r="F128" s="120" t="s">
        <v>492</v>
      </c>
      <c r="G128" s="120"/>
      <c r="H128" s="121">
        <v>2211</v>
      </c>
      <c r="I128" s="124" t="s">
        <v>75</v>
      </c>
      <c r="J128" s="94">
        <v>10000</v>
      </c>
      <c r="K128" s="94"/>
      <c r="L128" s="94"/>
      <c r="M128" s="94">
        <f t="shared" si="37"/>
        <v>10000</v>
      </c>
      <c r="N128" s="94">
        <v>10000</v>
      </c>
      <c r="O128" s="94"/>
      <c r="P128" s="94"/>
      <c r="Q128" s="94">
        <v>10000</v>
      </c>
      <c r="R128" s="94"/>
      <c r="S128" s="94"/>
      <c r="T128" s="94">
        <v>1000</v>
      </c>
      <c r="U128" s="94">
        <v>14691.2</v>
      </c>
      <c r="V128" s="94"/>
      <c r="W128" s="94">
        <f>T128+U128-V128</f>
        <v>15691.2</v>
      </c>
    </row>
    <row r="129" spans="1:24" ht="15.75" x14ac:dyDescent="0.25">
      <c r="A129" s="119"/>
      <c r="B129" s="90"/>
      <c r="C129" s="90"/>
      <c r="D129" s="120"/>
      <c r="E129" s="120" t="s">
        <v>477</v>
      </c>
      <c r="F129" s="120" t="s">
        <v>492</v>
      </c>
      <c r="G129" s="120"/>
      <c r="H129" s="126">
        <v>2611</v>
      </c>
      <c r="I129" s="127" t="s">
        <v>436</v>
      </c>
      <c r="J129" s="94">
        <v>137500</v>
      </c>
      <c r="K129" s="94"/>
      <c r="L129" s="94"/>
      <c r="M129" s="94">
        <f t="shared" si="37"/>
        <v>137500</v>
      </c>
      <c r="N129" s="94">
        <v>130000</v>
      </c>
      <c r="O129" s="94"/>
      <c r="P129" s="94"/>
      <c r="Q129" s="94">
        <v>110000</v>
      </c>
      <c r="R129" s="94"/>
      <c r="S129" s="94"/>
      <c r="T129" s="94">
        <v>110000</v>
      </c>
      <c r="U129" s="94"/>
      <c r="V129" s="94"/>
      <c r="W129" s="94">
        <v>110000</v>
      </c>
    </row>
    <row r="130" spans="1:24" ht="15.75" x14ac:dyDescent="0.25">
      <c r="A130" s="119"/>
      <c r="B130" s="90"/>
      <c r="C130" s="90"/>
      <c r="D130" s="120"/>
      <c r="E130" s="120" t="s">
        <v>495</v>
      </c>
      <c r="F130" s="120" t="s">
        <v>492</v>
      </c>
      <c r="G130" s="120"/>
      <c r="H130" s="121">
        <v>2612</v>
      </c>
      <c r="I130" s="122" t="s">
        <v>400</v>
      </c>
      <c r="J130" s="94">
        <v>15000</v>
      </c>
      <c r="K130" s="94"/>
      <c r="L130" s="94"/>
      <c r="M130" s="94">
        <f t="shared" si="37"/>
        <v>15000</v>
      </c>
      <c r="N130" s="94">
        <v>40000</v>
      </c>
      <c r="O130" s="94"/>
      <c r="P130" s="94"/>
      <c r="Q130" s="94">
        <v>40000</v>
      </c>
      <c r="R130" s="94"/>
      <c r="S130" s="94"/>
      <c r="T130" s="94">
        <v>40000</v>
      </c>
      <c r="U130" s="94"/>
      <c r="V130" s="94"/>
      <c r="W130" s="94">
        <v>40000</v>
      </c>
    </row>
    <row r="131" spans="1:24" ht="15.75" x14ac:dyDescent="0.25">
      <c r="A131" s="119"/>
      <c r="B131" s="90"/>
      <c r="C131" s="90"/>
      <c r="D131" s="120"/>
      <c r="E131" s="120" t="s">
        <v>495</v>
      </c>
      <c r="F131" s="120" t="s">
        <v>492</v>
      </c>
      <c r="G131" s="120"/>
      <c r="H131" s="121">
        <v>2911</v>
      </c>
      <c r="I131" s="122" t="s">
        <v>90</v>
      </c>
      <c r="J131" s="94">
        <v>28000</v>
      </c>
      <c r="K131" s="94"/>
      <c r="L131" s="94"/>
      <c r="M131" s="94">
        <f t="shared" si="37"/>
        <v>28000</v>
      </c>
      <c r="N131" s="94">
        <v>28000</v>
      </c>
      <c r="O131" s="94"/>
      <c r="P131" s="94"/>
      <c r="Q131" s="94">
        <v>28000</v>
      </c>
      <c r="R131" s="94"/>
      <c r="S131" s="94"/>
      <c r="T131" s="94">
        <v>28000</v>
      </c>
      <c r="U131" s="94"/>
      <c r="V131" s="94"/>
      <c r="W131" s="94">
        <v>28000</v>
      </c>
    </row>
    <row r="132" spans="1:24" ht="15.75" x14ac:dyDescent="0.25">
      <c r="A132" s="119"/>
      <c r="B132" s="90"/>
      <c r="C132" s="90"/>
      <c r="D132" s="120"/>
      <c r="E132" s="120" t="s">
        <v>477</v>
      </c>
      <c r="F132" s="120" t="s">
        <v>492</v>
      </c>
      <c r="G132" s="120"/>
      <c r="H132" s="126">
        <v>2961</v>
      </c>
      <c r="I132" s="127" t="s">
        <v>409</v>
      </c>
      <c r="J132" s="94">
        <v>73000</v>
      </c>
      <c r="K132" s="94"/>
      <c r="L132" s="94"/>
      <c r="M132" s="94">
        <f t="shared" si="37"/>
        <v>73000</v>
      </c>
      <c r="N132" s="94">
        <v>11000</v>
      </c>
      <c r="O132" s="94">
        <v>80000</v>
      </c>
      <c r="P132" s="94"/>
      <c r="Q132" s="94">
        <v>106000</v>
      </c>
      <c r="R132" s="94"/>
      <c r="S132" s="94"/>
      <c r="T132" s="94">
        <v>156000</v>
      </c>
      <c r="U132" s="94"/>
      <c r="V132" s="94"/>
      <c r="W132" s="94">
        <v>156000</v>
      </c>
    </row>
    <row r="133" spans="1:24" ht="15.75" x14ac:dyDescent="0.25">
      <c r="A133" s="119"/>
      <c r="B133" s="90"/>
      <c r="C133" s="90"/>
      <c r="D133" s="120"/>
      <c r="E133" s="120" t="s">
        <v>497</v>
      </c>
      <c r="F133" s="120" t="s">
        <v>492</v>
      </c>
      <c r="G133" s="120"/>
      <c r="H133" s="260">
        <v>3391</v>
      </c>
      <c r="I133" s="128" t="s">
        <v>404</v>
      </c>
      <c r="J133" s="94">
        <v>25000</v>
      </c>
      <c r="K133" s="94"/>
      <c r="L133" s="94"/>
      <c r="M133" s="94">
        <f t="shared" si="37"/>
        <v>25000</v>
      </c>
      <c r="N133" s="94">
        <v>10000</v>
      </c>
      <c r="O133" s="94"/>
      <c r="P133" s="94"/>
      <c r="Q133" s="94">
        <v>10000</v>
      </c>
      <c r="R133" s="94"/>
      <c r="S133" s="94">
        <v>5000</v>
      </c>
      <c r="T133" s="94">
        <v>10</v>
      </c>
      <c r="U133" s="94"/>
      <c r="V133" s="94"/>
      <c r="W133" s="94">
        <v>10</v>
      </c>
    </row>
    <row r="134" spans="1:24" ht="15.75" x14ac:dyDescent="0.25">
      <c r="A134" s="119"/>
      <c r="B134" s="90"/>
      <c r="C134" s="90"/>
      <c r="D134" s="120"/>
      <c r="E134" s="120" t="s">
        <v>478</v>
      </c>
      <c r="F134" s="120" t="s">
        <v>492</v>
      </c>
      <c r="G134" s="120"/>
      <c r="H134" s="126">
        <v>3451</v>
      </c>
      <c r="I134" s="127" t="s">
        <v>405</v>
      </c>
      <c r="J134" s="94">
        <v>25000</v>
      </c>
      <c r="K134" s="94"/>
      <c r="L134" s="94"/>
      <c r="M134" s="94">
        <f t="shared" si="37"/>
        <v>25000</v>
      </c>
      <c r="N134" s="94">
        <v>25000</v>
      </c>
      <c r="O134" s="94"/>
      <c r="P134" s="94"/>
      <c r="Q134" s="94">
        <v>25000</v>
      </c>
      <c r="R134" s="94"/>
      <c r="S134" s="94"/>
      <c r="T134" s="94">
        <v>33000</v>
      </c>
      <c r="U134" s="94"/>
      <c r="V134" s="94"/>
      <c r="W134" s="94">
        <v>33000</v>
      </c>
    </row>
    <row r="135" spans="1:24" ht="15.75" x14ac:dyDescent="0.25">
      <c r="A135" s="119"/>
      <c r="B135" s="90"/>
      <c r="C135" s="90"/>
      <c r="D135" s="120"/>
      <c r="E135" s="120" t="s">
        <v>479</v>
      </c>
      <c r="F135" s="120" t="s">
        <v>492</v>
      </c>
      <c r="G135" s="120"/>
      <c r="H135" s="126">
        <v>3551</v>
      </c>
      <c r="I135" s="127" t="s">
        <v>334</v>
      </c>
      <c r="J135" s="94">
        <v>129200</v>
      </c>
      <c r="K135" s="94"/>
      <c r="L135" s="94"/>
      <c r="M135" s="94">
        <f t="shared" si="37"/>
        <v>129200</v>
      </c>
      <c r="N135" s="94">
        <v>75000</v>
      </c>
      <c r="O135" s="94"/>
      <c r="P135" s="94"/>
      <c r="Q135" s="94">
        <v>110000</v>
      </c>
      <c r="R135" s="94"/>
      <c r="S135" s="94"/>
      <c r="T135" s="94">
        <v>104344.78</v>
      </c>
      <c r="U135" s="94">
        <v>60000</v>
      </c>
      <c r="V135" s="94"/>
      <c r="W135" s="94">
        <f>T135+U135-V135</f>
        <v>164344.78</v>
      </c>
    </row>
    <row r="136" spans="1:24" ht="31.5" x14ac:dyDescent="0.25">
      <c r="A136" s="119"/>
      <c r="B136" s="90"/>
      <c r="C136" s="90"/>
      <c r="D136" s="120"/>
      <c r="E136" s="120" t="s">
        <v>498</v>
      </c>
      <c r="F136" s="120" t="s">
        <v>492</v>
      </c>
      <c r="G136" s="120"/>
      <c r="H136" s="121">
        <v>3571</v>
      </c>
      <c r="I136" s="122" t="s">
        <v>407</v>
      </c>
      <c r="J136" s="94">
        <v>20000</v>
      </c>
      <c r="K136" s="94"/>
      <c r="L136" s="94"/>
      <c r="M136" s="94">
        <f t="shared" si="37"/>
        <v>20000</v>
      </c>
      <c r="N136" s="94">
        <v>20000</v>
      </c>
      <c r="O136" s="94">
        <v>40000</v>
      </c>
      <c r="P136" s="94"/>
      <c r="Q136" s="94">
        <v>50000</v>
      </c>
      <c r="R136" s="94"/>
      <c r="S136" s="94">
        <v>15000</v>
      </c>
      <c r="T136" s="94">
        <v>35000</v>
      </c>
      <c r="U136" s="94"/>
      <c r="V136" s="94"/>
      <c r="W136" s="94">
        <v>35000</v>
      </c>
    </row>
    <row r="137" spans="1:24" ht="15.75" x14ac:dyDescent="0.25">
      <c r="A137" s="119"/>
      <c r="B137" s="90"/>
      <c r="C137" s="90"/>
      <c r="D137" s="120"/>
      <c r="E137" s="120" t="s">
        <v>480</v>
      </c>
      <c r="F137" s="259" t="s">
        <v>492</v>
      </c>
      <c r="G137" s="259"/>
      <c r="H137" s="130">
        <v>3921</v>
      </c>
      <c r="I137" s="124" t="s">
        <v>121</v>
      </c>
      <c r="J137" s="262">
        <v>500</v>
      </c>
      <c r="K137" s="94">
        <v>3000</v>
      </c>
      <c r="L137" s="262"/>
      <c r="M137" s="94">
        <f t="shared" si="37"/>
        <v>3500</v>
      </c>
      <c r="N137" s="94">
        <v>3500</v>
      </c>
      <c r="O137" s="94"/>
      <c r="P137" s="94"/>
      <c r="Q137" s="94">
        <v>3500</v>
      </c>
      <c r="R137" s="94"/>
      <c r="S137" s="94"/>
      <c r="T137" s="94">
        <v>3500</v>
      </c>
      <c r="U137" s="94"/>
      <c r="V137" s="94"/>
      <c r="W137" s="94">
        <v>3500</v>
      </c>
    </row>
    <row r="138" spans="1:24" ht="15.75" x14ac:dyDescent="0.25">
      <c r="A138" s="119"/>
      <c r="B138" s="90"/>
      <c r="C138" s="90"/>
      <c r="D138" s="120"/>
      <c r="E138" s="120" t="s">
        <v>501</v>
      </c>
      <c r="F138" s="259" t="s">
        <v>492</v>
      </c>
      <c r="G138" s="272"/>
      <c r="H138" s="130">
        <v>3991</v>
      </c>
      <c r="I138" s="261" t="s">
        <v>120</v>
      </c>
      <c r="J138" s="262">
        <v>5000</v>
      </c>
      <c r="K138" s="262"/>
      <c r="L138" s="262"/>
      <c r="M138" s="94">
        <f t="shared" si="37"/>
        <v>5000</v>
      </c>
      <c r="N138" s="94">
        <v>5000</v>
      </c>
      <c r="O138" s="94"/>
      <c r="P138" s="94"/>
      <c r="Q138" s="94">
        <v>5000</v>
      </c>
      <c r="R138" s="94"/>
      <c r="S138" s="94"/>
      <c r="T138" s="94">
        <v>5000</v>
      </c>
      <c r="U138" s="94"/>
      <c r="V138" s="94"/>
      <c r="W138" s="94">
        <v>5000</v>
      </c>
    </row>
    <row r="139" spans="1:24" ht="15.75" x14ac:dyDescent="0.25">
      <c r="A139" s="119"/>
      <c r="B139" s="90"/>
      <c r="C139" s="90"/>
      <c r="D139" s="120"/>
      <c r="E139" s="120"/>
      <c r="F139" s="259" t="s">
        <v>492</v>
      </c>
      <c r="G139" s="259"/>
      <c r="H139" s="130">
        <v>5411</v>
      </c>
      <c r="I139" s="261" t="s">
        <v>426</v>
      </c>
      <c r="J139" s="262"/>
      <c r="K139" s="262"/>
      <c r="L139" s="262"/>
      <c r="M139" s="94"/>
      <c r="N139" s="94">
        <v>324859.91649073735</v>
      </c>
      <c r="O139" s="94"/>
      <c r="P139" s="94"/>
      <c r="Q139" s="94">
        <v>10</v>
      </c>
      <c r="R139" s="94"/>
      <c r="S139" s="94"/>
      <c r="T139" s="94">
        <v>10</v>
      </c>
      <c r="U139" s="94">
        <v>490000</v>
      </c>
      <c r="V139" s="94"/>
      <c r="W139" s="94">
        <f>T139+U139-V139</f>
        <v>490010</v>
      </c>
    </row>
    <row r="140" spans="1:24" ht="15.75" x14ac:dyDescent="0.25">
      <c r="A140" s="133"/>
      <c r="B140" s="134"/>
      <c r="C140" s="134"/>
      <c r="D140" s="135"/>
      <c r="E140" s="135" t="s">
        <v>501</v>
      </c>
      <c r="F140" s="120" t="s">
        <v>492</v>
      </c>
      <c r="G140" s="120"/>
      <c r="H140" s="218">
        <v>5631</v>
      </c>
      <c r="I140" s="122" t="s">
        <v>442</v>
      </c>
      <c r="J140" s="94">
        <v>15000</v>
      </c>
      <c r="K140" s="94"/>
      <c r="L140" s="94"/>
      <c r="M140" s="94">
        <f t="shared" si="37"/>
        <v>15000</v>
      </c>
      <c r="N140" s="94">
        <v>31</v>
      </c>
      <c r="O140" s="94"/>
      <c r="P140" s="94"/>
      <c r="Q140" s="94">
        <v>10</v>
      </c>
      <c r="R140" s="94"/>
      <c r="S140" s="94"/>
      <c r="T140" s="94">
        <v>10</v>
      </c>
      <c r="U140" s="94">
        <v>2169040</v>
      </c>
      <c r="V140" s="94"/>
      <c r="W140" s="94">
        <f>T140+U140-V140</f>
        <v>2169050</v>
      </c>
      <c r="X140" t="s">
        <v>570</v>
      </c>
    </row>
    <row r="141" spans="1:24" ht="15.75" x14ac:dyDescent="0.25">
      <c r="A141" s="119"/>
      <c r="B141" s="90"/>
      <c r="C141" s="90"/>
      <c r="D141" s="120"/>
      <c r="E141" s="120" t="s">
        <v>501</v>
      </c>
      <c r="F141" s="120" t="s">
        <v>492</v>
      </c>
      <c r="G141" s="120"/>
      <c r="H141" s="218">
        <v>5671</v>
      </c>
      <c r="I141" s="122" t="s">
        <v>443</v>
      </c>
      <c r="J141" s="94">
        <v>50000</v>
      </c>
      <c r="K141" s="94"/>
      <c r="L141" s="94"/>
      <c r="M141" s="94">
        <f t="shared" si="37"/>
        <v>50000</v>
      </c>
      <c r="N141" s="94">
        <v>50000</v>
      </c>
      <c r="O141" s="94"/>
      <c r="P141" s="94"/>
      <c r="Q141" s="94">
        <v>5000</v>
      </c>
      <c r="R141" s="94"/>
      <c r="S141" s="94"/>
      <c r="T141" s="94">
        <v>10</v>
      </c>
      <c r="U141" s="94">
        <v>179800</v>
      </c>
      <c r="V141" s="94"/>
      <c r="W141" s="94">
        <f>T141+U141-V141</f>
        <v>179810</v>
      </c>
    </row>
    <row r="142" spans="1:24" ht="15.75" x14ac:dyDescent="0.25">
      <c r="A142" s="119"/>
      <c r="B142" s="90"/>
      <c r="C142" s="90"/>
      <c r="D142" s="120"/>
      <c r="E142" s="120" t="s">
        <v>502</v>
      </c>
      <c r="F142" s="120" t="s">
        <v>492</v>
      </c>
      <c r="G142" s="120"/>
      <c r="H142" s="126">
        <v>5691</v>
      </c>
      <c r="I142" s="127" t="s">
        <v>135</v>
      </c>
      <c r="J142" s="94">
        <v>0</v>
      </c>
      <c r="K142" s="94">
        <v>50000</v>
      </c>
      <c r="L142" s="94"/>
      <c r="M142" s="94">
        <f t="shared" si="37"/>
        <v>50000</v>
      </c>
      <c r="N142" s="94">
        <v>20000</v>
      </c>
      <c r="O142" s="94"/>
      <c r="P142" s="94"/>
      <c r="Q142" s="94">
        <v>1000</v>
      </c>
      <c r="R142" s="94"/>
      <c r="S142" s="94"/>
      <c r="T142" s="94">
        <v>10</v>
      </c>
      <c r="U142" s="94"/>
      <c r="V142" s="94"/>
      <c r="W142" s="94">
        <v>10</v>
      </c>
    </row>
    <row r="143" spans="1:24" ht="15.75" x14ac:dyDescent="0.25">
      <c r="A143" s="219"/>
      <c r="B143" s="219"/>
      <c r="C143" s="219"/>
      <c r="D143" s="219"/>
      <c r="E143" s="220" t="s">
        <v>493</v>
      </c>
      <c r="F143" s="305" t="s">
        <v>493</v>
      </c>
      <c r="G143" s="219"/>
      <c r="H143" s="221"/>
      <c r="I143" s="169" t="s">
        <v>522</v>
      </c>
      <c r="J143" s="222">
        <f>J144</f>
        <v>3027842.64</v>
      </c>
      <c r="K143" s="222">
        <f t="shared" ref="K143:O143" si="38">K144</f>
        <v>100000</v>
      </c>
      <c r="L143" s="222">
        <f t="shared" si="38"/>
        <v>0</v>
      </c>
      <c r="M143" s="222">
        <f t="shared" si="38"/>
        <v>3127842.64</v>
      </c>
      <c r="N143" s="222">
        <v>5068336.270385012</v>
      </c>
      <c r="O143" s="222">
        <f t="shared" si="38"/>
        <v>30000</v>
      </c>
      <c r="P143" s="222">
        <f t="shared" ref="P143:W143" si="39">P144</f>
        <v>50000</v>
      </c>
      <c r="Q143" s="222">
        <f t="shared" si="39"/>
        <v>4701336.270385012</v>
      </c>
      <c r="R143" s="222">
        <f t="shared" si="39"/>
        <v>560000</v>
      </c>
      <c r="S143" s="222">
        <f t="shared" si="39"/>
        <v>0</v>
      </c>
      <c r="T143" s="222">
        <f t="shared" si="39"/>
        <v>6248260</v>
      </c>
      <c r="U143" s="222">
        <f t="shared" si="39"/>
        <v>330000</v>
      </c>
      <c r="V143" s="222">
        <f t="shared" si="39"/>
        <v>0</v>
      </c>
      <c r="W143" s="222">
        <f t="shared" si="39"/>
        <v>6578260</v>
      </c>
    </row>
    <row r="144" spans="1:24" ht="15.75" x14ac:dyDescent="0.25">
      <c r="A144" s="257"/>
      <c r="B144" s="258"/>
      <c r="C144" s="258"/>
      <c r="D144" s="259"/>
      <c r="E144" s="259"/>
      <c r="F144" s="259"/>
      <c r="G144" s="264" t="s">
        <v>516</v>
      </c>
      <c r="H144" s="265"/>
      <c r="I144" s="273" t="s">
        <v>391</v>
      </c>
      <c r="J144" s="268">
        <f>SUM(J145:J156)</f>
        <v>3027842.64</v>
      </c>
      <c r="K144" s="268">
        <f>SUM(K145:K156)</f>
        <v>100000</v>
      </c>
      <c r="L144" s="268">
        <f>SUM(L145:L156)</f>
        <v>0</v>
      </c>
      <c r="M144" s="268">
        <f>SUM(M145:M156)</f>
        <v>3127842.64</v>
      </c>
      <c r="N144" s="268">
        <v>5068336.270385012</v>
      </c>
      <c r="O144" s="268">
        <f t="shared" ref="O144:T144" si="40">SUM(O145:O156)</f>
        <v>30000</v>
      </c>
      <c r="P144" s="268">
        <f t="shared" si="40"/>
        <v>50000</v>
      </c>
      <c r="Q144" s="268">
        <f t="shared" si="40"/>
        <v>4701336.270385012</v>
      </c>
      <c r="R144" s="268">
        <f t="shared" si="40"/>
        <v>560000</v>
      </c>
      <c r="S144" s="268">
        <f t="shared" si="40"/>
        <v>0</v>
      </c>
      <c r="T144" s="268">
        <f t="shared" si="40"/>
        <v>6248260</v>
      </c>
      <c r="U144" s="268">
        <f t="shared" ref="U144:W144" si="41">SUM(U145:U156)</f>
        <v>330000</v>
      </c>
      <c r="V144" s="268">
        <f t="shared" si="41"/>
        <v>0</v>
      </c>
      <c r="W144" s="268">
        <f t="shared" si="41"/>
        <v>6578260</v>
      </c>
    </row>
    <row r="145" spans="1:24" ht="15.75" x14ac:dyDescent="0.25">
      <c r="A145" s="257"/>
      <c r="B145" s="258"/>
      <c r="C145" s="258"/>
      <c r="D145" s="259"/>
      <c r="E145" s="259" t="s">
        <v>477</v>
      </c>
      <c r="F145" s="259" t="s">
        <v>493</v>
      </c>
      <c r="G145" s="259"/>
      <c r="H145" s="130">
        <v>2461</v>
      </c>
      <c r="I145" s="124" t="s">
        <v>78</v>
      </c>
      <c r="J145" s="262">
        <v>28000</v>
      </c>
      <c r="K145" s="262"/>
      <c r="L145" s="262"/>
      <c r="M145" s="94">
        <f t="shared" ref="M145:M156" si="42">J145+K145-L145</f>
        <v>28000</v>
      </c>
      <c r="N145" s="94">
        <v>28000</v>
      </c>
      <c r="O145" s="94"/>
      <c r="P145" s="94"/>
      <c r="Q145" s="94">
        <v>28000</v>
      </c>
      <c r="R145" s="94">
        <v>50000</v>
      </c>
      <c r="S145" s="94"/>
      <c r="T145" s="94">
        <v>25000</v>
      </c>
      <c r="U145" s="94">
        <v>50000</v>
      </c>
      <c r="V145" s="94"/>
      <c r="W145" s="94">
        <f>T145+U145-V145</f>
        <v>75000</v>
      </c>
    </row>
    <row r="146" spans="1:24" ht="15.75" x14ac:dyDescent="0.25">
      <c r="A146" s="257"/>
      <c r="B146" s="258"/>
      <c r="C146" s="258"/>
      <c r="D146" s="259"/>
      <c r="E146" s="259"/>
      <c r="F146" s="259" t="s">
        <v>493</v>
      </c>
      <c r="G146" s="259"/>
      <c r="H146" s="130">
        <v>2591</v>
      </c>
      <c r="I146" s="261" t="s">
        <v>435</v>
      </c>
      <c r="J146" s="262">
        <v>169000</v>
      </c>
      <c r="K146" s="262"/>
      <c r="L146" s="262"/>
      <c r="M146" s="94">
        <f t="shared" si="42"/>
        <v>169000</v>
      </c>
      <c r="N146" s="94">
        <v>169000</v>
      </c>
      <c r="O146" s="94"/>
      <c r="P146" s="94"/>
      <c r="Q146" s="94">
        <v>169000</v>
      </c>
      <c r="R146" s="94"/>
      <c r="S146" s="94"/>
      <c r="T146" s="94">
        <v>259000</v>
      </c>
      <c r="U146" s="94"/>
      <c r="V146" s="94"/>
      <c r="W146" s="94">
        <v>259000</v>
      </c>
    </row>
    <row r="147" spans="1:24" ht="15.75" x14ac:dyDescent="0.25">
      <c r="A147" s="257"/>
      <c r="B147" s="258"/>
      <c r="C147" s="258"/>
      <c r="D147" s="259"/>
      <c r="E147" s="259"/>
      <c r="F147" s="259" t="s">
        <v>493</v>
      </c>
      <c r="G147" s="259"/>
      <c r="H147" s="130">
        <v>3111</v>
      </c>
      <c r="I147" s="261" t="s">
        <v>312</v>
      </c>
      <c r="J147" s="262">
        <v>2240842.64</v>
      </c>
      <c r="K147" s="262"/>
      <c r="L147" s="262"/>
      <c r="M147" s="94">
        <f t="shared" si="42"/>
        <v>2240842.64</v>
      </c>
      <c r="N147" s="94">
        <v>3050000</v>
      </c>
      <c r="O147" s="94"/>
      <c r="P147" s="94"/>
      <c r="Q147" s="94">
        <v>3600000</v>
      </c>
      <c r="R147" s="94">
        <v>400000</v>
      </c>
      <c r="S147" s="94"/>
      <c r="T147" s="94">
        <v>4791250</v>
      </c>
      <c r="U147" s="94"/>
      <c r="V147" s="94"/>
      <c r="W147" s="94">
        <v>4791250</v>
      </c>
    </row>
    <row r="148" spans="1:24" ht="15.75" x14ac:dyDescent="0.25">
      <c r="A148" s="257"/>
      <c r="B148" s="258"/>
      <c r="C148" s="258"/>
      <c r="D148" s="259"/>
      <c r="E148" s="259" t="s">
        <v>493</v>
      </c>
      <c r="F148" s="259" t="s">
        <v>493</v>
      </c>
      <c r="G148" s="259"/>
      <c r="H148" s="130">
        <v>3321</v>
      </c>
      <c r="I148" s="261" t="s">
        <v>103</v>
      </c>
      <c r="J148" s="262">
        <v>30000</v>
      </c>
      <c r="K148" s="262"/>
      <c r="L148" s="262"/>
      <c r="M148" s="94">
        <f t="shared" si="42"/>
        <v>30000</v>
      </c>
      <c r="N148" s="94">
        <v>200000</v>
      </c>
      <c r="O148" s="94"/>
      <c r="P148" s="94"/>
      <c r="Q148" s="94">
        <v>1000</v>
      </c>
      <c r="R148" s="94"/>
      <c r="S148" s="94"/>
      <c r="T148" s="94">
        <v>10</v>
      </c>
      <c r="U148" s="94"/>
      <c r="V148" s="94"/>
      <c r="W148" s="94">
        <v>10</v>
      </c>
    </row>
    <row r="149" spans="1:24" ht="15.75" x14ac:dyDescent="0.25">
      <c r="A149" s="257"/>
      <c r="B149" s="258"/>
      <c r="C149" s="258"/>
      <c r="D149" s="259"/>
      <c r="E149" s="259"/>
      <c r="F149" s="259" t="s">
        <v>493</v>
      </c>
      <c r="G149" s="259"/>
      <c r="H149" s="307">
        <v>3391</v>
      </c>
      <c r="I149" s="124" t="s">
        <v>404</v>
      </c>
      <c r="J149" s="262">
        <v>94000</v>
      </c>
      <c r="K149" s="262"/>
      <c r="L149" s="262"/>
      <c r="M149" s="94">
        <f t="shared" si="42"/>
        <v>94000</v>
      </c>
      <c r="N149" s="94">
        <v>200000</v>
      </c>
      <c r="O149" s="94">
        <v>30000</v>
      </c>
      <c r="P149" s="94"/>
      <c r="Q149" s="94">
        <v>200000</v>
      </c>
      <c r="R149" s="94">
        <v>50000</v>
      </c>
      <c r="S149" s="94"/>
      <c r="T149" s="94">
        <v>220000</v>
      </c>
      <c r="U149" s="94">
        <v>80000</v>
      </c>
      <c r="V149" s="94"/>
      <c r="W149" s="94">
        <f>T149+U149-V149</f>
        <v>300000</v>
      </c>
      <c r="X149" t="s">
        <v>566</v>
      </c>
    </row>
    <row r="150" spans="1:24" ht="15.75" x14ac:dyDescent="0.25">
      <c r="A150" s="257"/>
      <c r="B150" s="258"/>
      <c r="C150" s="258"/>
      <c r="D150" s="259"/>
      <c r="E150" s="259"/>
      <c r="F150" s="259" t="s">
        <v>493</v>
      </c>
      <c r="G150" s="259"/>
      <c r="H150" s="130">
        <v>3511</v>
      </c>
      <c r="I150" s="261" t="s">
        <v>406</v>
      </c>
      <c r="J150" s="262">
        <v>25000</v>
      </c>
      <c r="K150" s="262"/>
      <c r="L150" s="262"/>
      <c r="M150" s="94">
        <f t="shared" si="42"/>
        <v>25000</v>
      </c>
      <c r="N150" s="94">
        <v>60000</v>
      </c>
      <c r="O150" s="94"/>
      <c r="P150" s="94"/>
      <c r="Q150" s="94">
        <v>10000</v>
      </c>
      <c r="R150" s="94">
        <v>60000</v>
      </c>
      <c r="S150" s="94"/>
      <c r="T150" s="94">
        <v>20000</v>
      </c>
      <c r="U150" s="94"/>
      <c r="V150" s="94"/>
      <c r="W150" s="94">
        <v>20000</v>
      </c>
    </row>
    <row r="151" spans="1:24" ht="31.5" x14ac:dyDescent="0.25">
      <c r="A151" s="257"/>
      <c r="B151" s="258"/>
      <c r="C151" s="258"/>
      <c r="D151" s="259"/>
      <c r="E151" s="259"/>
      <c r="F151" s="259" t="s">
        <v>493</v>
      </c>
      <c r="G151" s="259"/>
      <c r="H151" s="130">
        <v>3571</v>
      </c>
      <c r="I151" s="261" t="s">
        <v>407</v>
      </c>
      <c r="J151" s="262">
        <v>255000</v>
      </c>
      <c r="K151" s="262"/>
      <c r="L151" s="262"/>
      <c r="M151" s="94">
        <f t="shared" si="42"/>
        <v>255000</v>
      </c>
      <c r="N151" s="94">
        <v>400000</v>
      </c>
      <c r="O151" s="94"/>
      <c r="P151" s="94"/>
      <c r="Q151" s="94">
        <v>400000</v>
      </c>
      <c r="R151" s="94"/>
      <c r="S151" s="94"/>
      <c r="T151" s="94">
        <v>350000</v>
      </c>
      <c r="U151" s="94"/>
      <c r="V151" s="94"/>
      <c r="W151" s="94">
        <v>350000</v>
      </c>
    </row>
    <row r="152" spans="1:24" ht="15.75" x14ac:dyDescent="0.25">
      <c r="A152" s="257"/>
      <c r="B152" s="258"/>
      <c r="C152" s="258"/>
      <c r="D152" s="259"/>
      <c r="E152" s="259"/>
      <c r="F152" s="259" t="s">
        <v>493</v>
      </c>
      <c r="G152" s="259"/>
      <c r="H152" s="130">
        <v>3991</v>
      </c>
      <c r="I152" s="261" t="s">
        <v>120</v>
      </c>
      <c r="J152" s="262">
        <v>34000</v>
      </c>
      <c r="K152" s="262"/>
      <c r="L152" s="262"/>
      <c r="M152" s="94">
        <f t="shared" si="42"/>
        <v>34000</v>
      </c>
      <c r="N152" s="94">
        <v>39000</v>
      </c>
      <c r="O152" s="94"/>
      <c r="P152" s="94"/>
      <c r="Q152" s="94">
        <v>39000</v>
      </c>
      <c r="R152" s="94"/>
      <c r="S152" s="94"/>
      <c r="T152" s="94">
        <v>39000</v>
      </c>
      <c r="U152" s="94"/>
      <c r="V152" s="94"/>
      <c r="W152" s="94">
        <v>39000</v>
      </c>
    </row>
    <row r="153" spans="1:24" ht="15.75" x14ac:dyDescent="0.25">
      <c r="A153" s="257"/>
      <c r="B153" s="258"/>
      <c r="C153" s="258"/>
      <c r="D153" s="259"/>
      <c r="E153" s="259" t="s">
        <v>481</v>
      </c>
      <c r="F153" s="259" t="s">
        <v>493</v>
      </c>
      <c r="G153" s="259"/>
      <c r="H153" s="130">
        <v>5191</v>
      </c>
      <c r="I153" s="124" t="s">
        <v>450</v>
      </c>
      <c r="J153" s="262">
        <v>2000</v>
      </c>
      <c r="K153" s="262"/>
      <c r="L153" s="262"/>
      <c r="M153" s="94">
        <f t="shared" si="42"/>
        <v>2000</v>
      </c>
      <c r="N153" s="94">
        <v>2000</v>
      </c>
      <c r="O153" s="94"/>
      <c r="P153" s="94"/>
      <c r="Q153" s="94">
        <v>2000</v>
      </c>
      <c r="R153" s="94"/>
      <c r="S153" s="94"/>
      <c r="T153" s="94">
        <v>2000</v>
      </c>
      <c r="U153" s="94"/>
      <c r="V153" s="94"/>
      <c r="W153" s="94">
        <v>2000</v>
      </c>
    </row>
    <row r="154" spans="1:24" ht="15.75" x14ac:dyDescent="0.25">
      <c r="A154" s="257"/>
      <c r="B154" s="258"/>
      <c r="C154" s="258"/>
      <c r="D154" s="259"/>
      <c r="E154" s="259"/>
      <c r="F154" s="259" t="s">
        <v>493</v>
      </c>
      <c r="G154" s="259"/>
      <c r="H154" s="130">
        <v>5661</v>
      </c>
      <c r="I154" s="124" t="s">
        <v>526</v>
      </c>
      <c r="J154" s="262">
        <v>22000</v>
      </c>
      <c r="K154" s="262"/>
      <c r="L154" s="262"/>
      <c r="M154" s="94">
        <f t="shared" si="42"/>
        <v>22000</v>
      </c>
      <c r="N154" s="94">
        <v>392336.27038501203</v>
      </c>
      <c r="O154" s="94"/>
      <c r="P154" s="94"/>
      <c r="Q154" s="94">
        <v>2336.2703850120306</v>
      </c>
      <c r="R154" s="94"/>
      <c r="S154" s="94"/>
      <c r="T154" s="94">
        <v>92000</v>
      </c>
      <c r="U154" s="94"/>
      <c r="V154" s="94"/>
      <c r="W154" s="94">
        <v>92000</v>
      </c>
    </row>
    <row r="155" spans="1:24" ht="15.75" x14ac:dyDescent="0.25">
      <c r="A155" s="257"/>
      <c r="B155" s="258"/>
      <c r="C155" s="258"/>
      <c r="D155" s="259"/>
      <c r="E155" s="259"/>
      <c r="F155" s="259" t="s">
        <v>493</v>
      </c>
      <c r="G155" s="259"/>
      <c r="H155" s="308">
        <v>5663</v>
      </c>
      <c r="I155" s="261" t="s">
        <v>432</v>
      </c>
      <c r="J155" s="262">
        <v>28000</v>
      </c>
      <c r="K155" s="262"/>
      <c r="L155" s="262"/>
      <c r="M155" s="94">
        <f t="shared" si="42"/>
        <v>28000</v>
      </c>
      <c r="N155" s="94">
        <v>278000</v>
      </c>
      <c r="O155" s="94"/>
      <c r="P155" s="94"/>
      <c r="Q155" s="94">
        <v>50000</v>
      </c>
      <c r="R155" s="94"/>
      <c r="S155" s="94"/>
      <c r="T155" s="94">
        <v>200000</v>
      </c>
      <c r="U155" s="94"/>
      <c r="V155" s="94"/>
      <c r="W155" s="94">
        <f>T155+U155-V155</f>
        <v>200000</v>
      </c>
    </row>
    <row r="156" spans="1:24" ht="15.75" x14ac:dyDescent="0.25">
      <c r="A156" s="274"/>
      <c r="B156" s="212"/>
      <c r="C156" s="212"/>
      <c r="D156" s="275"/>
      <c r="E156" s="275" t="s">
        <v>481</v>
      </c>
      <c r="F156" s="259" t="s">
        <v>493</v>
      </c>
      <c r="G156" s="259"/>
      <c r="H156" s="130">
        <v>5691</v>
      </c>
      <c r="I156" s="124" t="s">
        <v>135</v>
      </c>
      <c r="J156" s="262">
        <v>100000</v>
      </c>
      <c r="K156" s="262">
        <v>100000</v>
      </c>
      <c r="L156" s="262"/>
      <c r="M156" s="94">
        <f t="shared" si="42"/>
        <v>200000</v>
      </c>
      <c r="N156" s="94">
        <v>250000</v>
      </c>
      <c r="O156" s="94"/>
      <c r="P156" s="94">
        <v>50000</v>
      </c>
      <c r="Q156" s="94">
        <v>200000</v>
      </c>
      <c r="R156" s="94"/>
      <c r="S156" s="94"/>
      <c r="T156" s="94">
        <v>250000</v>
      </c>
      <c r="U156" s="94">
        <v>200000</v>
      </c>
      <c r="V156" s="94"/>
      <c r="W156" s="94">
        <f>T156+U156+-V156</f>
        <v>450000</v>
      </c>
    </row>
    <row r="157" spans="1:24" ht="31.5" x14ac:dyDescent="0.25">
      <c r="A157" s="219"/>
      <c r="B157" s="219"/>
      <c r="C157" s="219"/>
      <c r="D157" s="219"/>
      <c r="E157" s="220" t="s">
        <v>493</v>
      </c>
      <c r="F157" s="220" t="s">
        <v>498</v>
      </c>
      <c r="G157" s="219"/>
      <c r="H157" s="221"/>
      <c r="I157" s="169" t="s">
        <v>433</v>
      </c>
      <c r="J157" s="222">
        <f>J158</f>
        <v>686000</v>
      </c>
      <c r="K157" s="222">
        <f t="shared" ref="K157:M157" si="43">K158</f>
        <v>35000</v>
      </c>
      <c r="L157" s="222">
        <f t="shared" si="43"/>
        <v>0</v>
      </c>
      <c r="M157" s="222">
        <f t="shared" si="43"/>
        <v>721000</v>
      </c>
      <c r="N157" s="222">
        <v>921000</v>
      </c>
      <c r="O157" s="222">
        <f t="shared" ref="O157:W157" si="44">O158</f>
        <v>1100000</v>
      </c>
      <c r="P157" s="222">
        <f t="shared" si="44"/>
        <v>0</v>
      </c>
      <c r="Q157" s="222">
        <f t="shared" si="44"/>
        <v>1540100</v>
      </c>
      <c r="R157" s="222">
        <f t="shared" si="44"/>
        <v>40000</v>
      </c>
      <c r="S157" s="222">
        <f t="shared" si="44"/>
        <v>100000</v>
      </c>
      <c r="T157" s="222">
        <f t="shared" si="44"/>
        <v>1212893.31</v>
      </c>
      <c r="U157" s="222">
        <f t="shared" si="44"/>
        <v>0</v>
      </c>
      <c r="V157" s="222">
        <f t="shared" si="44"/>
        <v>0</v>
      </c>
      <c r="W157" s="222">
        <f t="shared" si="44"/>
        <v>1212893.31</v>
      </c>
    </row>
    <row r="158" spans="1:24" ht="15.75" x14ac:dyDescent="0.25">
      <c r="A158" s="257"/>
      <c r="B158" s="258"/>
      <c r="C158" s="258"/>
      <c r="D158" s="259"/>
      <c r="E158" s="259"/>
      <c r="F158" s="259"/>
      <c r="G158" s="264" t="s">
        <v>516</v>
      </c>
      <c r="H158" s="265"/>
      <c r="I158" s="273" t="s">
        <v>391</v>
      </c>
      <c r="J158" s="268">
        <f>SUM(J159:J165)</f>
        <v>686000</v>
      </c>
      <c r="K158" s="268">
        <f>SUM(K159:K165)</f>
        <v>35000</v>
      </c>
      <c r="L158" s="268">
        <f>SUM(L159:L165)</f>
        <v>0</v>
      </c>
      <c r="M158" s="268">
        <f>SUM(M159:M165)</f>
        <v>721000</v>
      </c>
      <c r="N158" s="268">
        <v>921000</v>
      </c>
      <c r="O158" s="268">
        <f t="shared" ref="O158:T158" si="45">SUM(O159:O166)</f>
        <v>1100000</v>
      </c>
      <c r="P158" s="268">
        <f t="shared" si="45"/>
        <v>0</v>
      </c>
      <c r="Q158" s="268">
        <f t="shared" si="45"/>
        <v>1540100</v>
      </c>
      <c r="R158" s="268">
        <f t="shared" si="45"/>
        <v>40000</v>
      </c>
      <c r="S158" s="268">
        <f t="shared" si="45"/>
        <v>100000</v>
      </c>
      <c r="T158" s="268">
        <f t="shared" si="45"/>
        <v>1212893.31</v>
      </c>
      <c r="U158" s="268">
        <f t="shared" ref="U158:W158" si="46">SUM(U159:U166)</f>
        <v>0</v>
      </c>
      <c r="V158" s="268">
        <f t="shared" si="46"/>
        <v>0</v>
      </c>
      <c r="W158" s="268">
        <f t="shared" si="46"/>
        <v>1212893.31</v>
      </c>
    </row>
    <row r="159" spans="1:24" ht="15.75" x14ac:dyDescent="0.25">
      <c r="A159" s="257"/>
      <c r="B159" s="258"/>
      <c r="C159" s="258"/>
      <c r="D159" s="259"/>
      <c r="E159" s="259" t="s">
        <v>492</v>
      </c>
      <c r="F159" s="259" t="s">
        <v>498</v>
      </c>
      <c r="G159" s="259"/>
      <c r="H159" s="130">
        <v>2411</v>
      </c>
      <c r="I159" s="276" t="s">
        <v>392</v>
      </c>
      <c r="J159" s="262">
        <v>90000</v>
      </c>
      <c r="K159" s="262">
        <v>15000</v>
      </c>
      <c r="L159" s="262"/>
      <c r="M159" s="94">
        <f t="shared" ref="M159:M165" si="47">J159+K159-L159</f>
        <v>105000</v>
      </c>
      <c r="N159" s="94">
        <v>300000</v>
      </c>
      <c r="O159" s="94">
        <v>300000</v>
      </c>
      <c r="P159" s="94"/>
      <c r="Q159" s="94">
        <v>300000</v>
      </c>
      <c r="R159" s="94"/>
      <c r="S159" s="94"/>
      <c r="T159" s="94">
        <v>200000</v>
      </c>
      <c r="U159" s="94"/>
      <c r="V159" s="94"/>
      <c r="W159" s="94">
        <v>200000</v>
      </c>
    </row>
    <row r="160" spans="1:24" ht="15.75" x14ac:dyDescent="0.25">
      <c r="A160" s="257"/>
      <c r="B160" s="258"/>
      <c r="C160" s="258"/>
      <c r="D160" s="259"/>
      <c r="E160" s="259" t="s">
        <v>492</v>
      </c>
      <c r="F160" s="259" t="s">
        <v>498</v>
      </c>
      <c r="G160" s="259"/>
      <c r="H160" s="130">
        <v>2421</v>
      </c>
      <c r="I160" s="276" t="s">
        <v>393</v>
      </c>
      <c r="J160" s="262">
        <v>20000</v>
      </c>
      <c r="K160" s="262"/>
      <c r="L160" s="262"/>
      <c r="M160" s="94">
        <f t="shared" si="47"/>
        <v>20000</v>
      </c>
      <c r="N160" s="94">
        <v>40000</v>
      </c>
      <c r="O160" s="94">
        <v>100000</v>
      </c>
      <c r="P160" s="94"/>
      <c r="Q160" s="94">
        <v>100000</v>
      </c>
      <c r="R160" s="94"/>
      <c r="S160" s="94"/>
      <c r="T160" s="94">
        <v>65000</v>
      </c>
      <c r="U160" s="94"/>
      <c r="V160" s="94"/>
      <c r="W160" s="94">
        <v>65000</v>
      </c>
    </row>
    <row r="161" spans="1:23" ht="15.75" x14ac:dyDescent="0.25">
      <c r="A161" s="257"/>
      <c r="B161" s="258"/>
      <c r="C161" s="258"/>
      <c r="D161" s="259"/>
      <c r="E161" s="259" t="s">
        <v>494</v>
      </c>
      <c r="F161" s="259" t="s">
        <v>498</v>
      </c>
      <c r="G161" s="259"/>
      <c r="H161" s="130">
        <v>2491</v>
      </c>
      <c r="I161" s="276" t="s">
        <v>403</v>
      </c>
      <c r="J161" s="262">
        <v>35000</v>
      </c>
      <c r="K161" s="262"/>
      <c r="L161" s="262"/>
      <c r="M161" s="94">
        <f t="shared" si="47"/>
        <v>35000</v>
      </c>
      <c r="N161" s="94">
        <v>35000</v>
      </c>
      <c r="O161" s="94"/>
      <c r="P161" s="94"/>
      <c r="Q161" s="94">
        <v>200000</v>
      </c>
      <c r="R161" s="94"/>
      <c r="S161" s="94">
        <v>100000</v>
      </c>
      <c r="T161" s="94">
        <v>100000</v>
      </c>
      <c r="U161" s="94"/>
      <c r="V161" s="94"/>
      <c r="W161" s="94">
        <v>100000</v>
      </c>
    </row>
    <row r="162" spans="1:23" ht="15.75" x14ac:dyDescent="0.25">
      <c r="A162" s="257"/>
      <c r="B162" s="258"/>
      <c r="C162" s="258"/>
      <c r="D162" s="259"/>
      <c r="E162" s="259" t="s">
        <v>494</v>
      </c>
      <c r="F162" s="259" t="s">
        <v>498</v>
      </c>
      <c r="G162" s="259"/>
      <c r="H162" s="130">
        <v>2492</v>
      </c>
      <c r="I162" s="276" t="s">
        <v>80</v>
      </c>
      <c r="J162" s="262">
        <v>275000</v>
      </c>
      <c r="K162" s="262"/>
      <c r="L162" s="262"/>
      <c r="M162" s="94">
        <f t="shared" si="47"/>
        <v>275000</v>
      </c>
      <c r="N162" s="94">
        <v>250000</v>
      </c>
      <c r="O162" s="94"/>
      <c r="P162" s="94"/>
      <c r="Q162" s="94">
        <v>250000</v>
      </c>
      <c r="R162" s="94"/>
      <c r="S162" s="94"/>
      <c r="T162" s="94">
        <v>240000</v>
      </c>
      <c r="U162" s="94"/>
      <c r="V162" s="94"/>
      <c r="W162" s="94">
        <f>T162+U162-V162</f>
        <v>240000</v>
      </c>
    </row>
    <row r="163" spans="1:23" ht="15.75" x14ac:dyDescent="0.25">
      <c r="A163" s="257"/>
      <c r="B163" s="258"/>
      <c r="C163" s="258"/>
      <c r="D163" s="259"/>
      <c r="E163" s="259" t="s">
        <v>494</v>
      </c>
      <c r="F163" s="259" t="s">
        <v>498</v>
      </c>
      <c r="G163" s="259"/>
      <c r="H163" s="130">
        <v>2495</v>
      </c>
      <c r="I163" s="276" t="s">
        <v>419</v>
      </c>
      <c r="J163" s="262">
        <v>80000</v>
      </c>
      <c r="K163" s="262"/>
      <c r="L163" s="262"/>
      <c r="M163" s="94">
        <f t="shared" si="47"/>
        <v>80000</v>
      </c>
      <c r="N163" s="94">
        <v>250000</v>
      </c>
      <c r="O163" s="94"/>
      <c r="P163" s="94"/>
      <c r="Q163" s="94">
        <v>250000</v>
      </c>
      <c r="R163" s="94">
        <v>40000</v>
      </c>
      <c r="S163" s="94"/>
      <c r="T163" s="94">
        <v>290000</v>
      </c>
      <c r="U163" s="94"/>
      <c r="V163" s="94"/>
      <c r="W163" s="94">
        <v>290000</v>
      </c>
    </row>
    <row r="164" spans="1:23" ht="15.75" x14ac:dyDescent="0.25">
      <c r="A164" s="257"/>
      <c r="B164" s="258"/>
      <c r="C164" s="258"/>
      <c r="D164" s="259"/>
      <c r="E164" s="259" t="s">
        <v>496</v>
      </c>
      <c r="F164" s="259" t="s">
        <v>498</v>
      </c>
      <c r="G164" s="259"/>
      <c r="H164" s="130">
        <v>3261</v>
      </c>
      <c r="I164" s="276" t="s">
        <v>100</v>
      </c>
      <c r="J164" s="262">
        <v>70000</v>
      </c>
      <c r="K164" s="262">
        <v>20000</v>
      </c>
      <c r="L164" s="262"/>
      <c r="M164" s="94">
        <f t="shared" si="47"/>
        <v>90000</v>
      </c>
      <c r="N164" s="94">
        <v>30000</v>
      </c>
      <c r="O164" s="94">
        <v>600000</v>
      </c>
      <c r="P164" s="94"/>
      <c r="Q164" s="94">
        <v>400000</v>
      </c>
      <c r="R164" s="94"/>
      <c r="S164" s="94"/>
      <c r="T164" s="94">
        <v>307793.31</v>
      </c>
      <c r="U164" s="94"/>
      <c r="V164" s="94"/>
      <c r="W164" s="94">
        <v>307793.31</v>
      </c>
    </row>
    <row r="165" spans="1:23" ht="15.75" x14ac:dyDescent="0.25">
      <c r="A165" s="257"/>
      <c r="B165" s="258"/>
      <c r="C165" s="258"/>
      <c r="D165" s="258"/>
      <c r="E165" s="259" t="s">
        <v>499</v>
      </c>
      <c r="F165" s="259" t="s">
        <v>498</v>
      </c>
      <c r="G165" s="259"/>
      <c r="H165" s="130">
        <v>3991</v>
      </c>
      <c r="I165" s="261" t="s">
        <v>120</v>
      </c>
      <c r="J165" s="262">
        <v>116000</v>
      </c>
      <c r="K165" s="262"/>
      <c r="L165" s="262"/>
      <c r="M165" s="94">
        <f t="shared" si="47"/>
        <v>116000</v>
      </c>
      <c r="N165" s="94">
        <v>16000</v>
      </c>
      <c r="O165" s="94">
        <v>100000</v>
      </c>
      <c r="P165" s="94"/>
      <c r="Q165" s="94">
        <v>40000</v>
      </c>
      <c r="R165" s="94"/>
      <c r="S165" s="94"/>
      <c r="T165" s="94">
        <v>10000</v>
      </c>
      <c r="U165" s="94"/>
      <c r="V165" s="94"/>
      <c r="W165" s="94">
        <v>10000</v>
      </c>
    </row>
    <row r="166" spans="1:23" ht="15.75" x14ac:dyDescent="0.25">
      <c r="A166" s="313"/>
      <c r="B166" s="258"/>
      <c r="C166" s="258"/>
      <c r="D166" s="258"/>
      <c r="E166" s="259"/>
      <c r="F166" s="259" t="s">
        <v>498</v>
      </c>
      <c r="G166" s="259"/>
      <c r="H166" s="130">
        <v>6311</v>
      </c>
      <c r="I166" s="261" t="s">
        <v>457</v>
      </c>
      <c r="J166" s="262"/>
      <c r="K166" s="262"/>
      <c r="L166" s="262"/>
      <c r="M166" s="94"/>
      <c r="N166" s="94">
        <v>0</v>
      </c>
      <c r="O166" s="94"/>
      <c r="P166" s="94"/>
      <c r="Q166" s="94">
        <v>100</v>
      </c>
      <c r="R166" s="94"/>
      <c r="S166" s="94"/>
      <c r="T166" s="94">
        <v>100</v>
      </c>
      <c r="U166" s="94"/>
      <c r="V166" s="94"/>
      <c r="W166" s="94">
        <v>100</v>
      </c>
    </row>
    <row r="167" spans="1:23" ht="15.75" x14ac:dyDescent="0.25">
      <c r="A167" s="219"/>
      <c r="B167" s="219"/>
      <c r="C167" s="219"/>
      <c r="D167" s="219"/>
      <c r="E167" s="220" t="s">
        <v>500</v>
      </c>
      <c r="F167" s="220" t="s">
        <v>500</v>
      </c>
      <c r="G167" s="219"/>
      <c r="H167" s="221"/>
      <c r="I167" s="169" t="s">
        <v>434</v>
      </c>
      <c r="J167" s="222">
        <f>J168</f>
        <v>240000</v>
      </c>
      <c r="K167" s="222">
        <f t="shared" ref="K167:M167" si="48">K168</f>
        <v>0</v>
      </c>
      <c r="L167" s="222">
        <f t="shared" si="48"/>
        <v>0</v>
      </c>
      <c r="M167" s="222">
        <f t="shared" si="48"/>
        <v>240000</v>
      </c>
      <c r="N167" s="222">
        <v>270000</v>
      </c>
      <c r="O167" s="222">
        <f t="shared" ref="O167:W167" si="49">O168</f>
        <v>0</v>
      </c>
      <c r="P167" s="222">
        <f t="shared" si="49"/>
        <v>0</v>
      </c>
      <c r="Q167" s="222">
        <f t="shared" si="49"/>
        <v>255000</v>
      </c>
      <c r="R167" s="222">
        <f t="shared" si="49"/>
        <v>0</v>
      </c>
      <c r="S167" s="222">
        <f t="shared" si="49"/>
        <v>0</v>
      </c>
      <c r="T167" s="222">
        <f t="shared" si="49"/>
        <v>295000</v>
      </c>
      <c r="U167" s="222">
        <f t="shared" si="49"/>
        <v>20000</v>
      </c>
      <c r="V167" s="222">
        <f t="shared" si="49"/>
        <v>0</v>
      </c>
      <c r="W167" s="222">
        <f t="shared" si="49"/>
        <v>315000</v>
      </c>
    </row>
    <row r="168" spans="1:23" ht="15.75" x14ac:dyDescent="0.25">
      <c r="A168" s="257"/>
      <c r="B168" s="258"/>
      <c r="C168" s="258"/>
      <c r="D168" s="259"/>
      <c r="E168" s="259"/>
      <c r="F168" s="259"/>
      <c r="G168" s="264" t="s">
        <v>516</v>
      </c>
      <c r="H168" s="265"/>
      <c r="I168" s="273" t="s">
        <v>391</v>
      </c>
      <c r="J168" s="268">
        <f>SUM(J169:J171)</f>
        <v>240000</v>
      </c>
      <c r="K168" s="268">
        <f>SUM(K169:K171)</f>
        <v>0</v>
      </c>
      <c r="L168" s="268">
        <f>SUM(L169:L171)</f>
        <v>0</v>
      </c>
      <c r="M168" s="268">
        <f>SUM(M169:M171)</f>
        <v>240000</v>
      </c>
      <c r="N168" s="268">
        <v>270000</v>
      </c>
      <c r="O168" s="268">
        <f t="shared" ref="O168:Q168" si="50">SUM(O169:O171)</f>
        <v>0</v>
      </c>
      <c r="P168" s="268">
        <f t="shared" si="50"/>
        <v>0</v>
      </c>
      <c r="Q168" s="268">
        <f t="shared" si="50"/>
        <v>255000</v>
      </c>
      <c r="R168" s="268">
        <f t="shared" ref="R168:T168" si="51">SUM(R169:R171)</f>
        <v>0</v>
      </c>
      <c r="S168" s="268">
        <f t="shared" si="51"/>
        <v>0</v>
      </c>
      <c r="T168" s="268">
        <f t="shared" si="51"/>
        <v>295000</v>
      </c>
      <c r="U168" s="268">
        <f t="shared" ref="U168:W168" si="52">SUM(U169:U171)</f>
        <v>20000</v>
      </c>
      <c r="V168" s="268">
        <f t="shared" si="52"/>
        <v>0</v>
      </c>
      <c r="W168" s="268">
        <f t="shared" si="52"/>
        <v>315000</v>
      </c>
    </row>
    <row r="169" spans="1:23" ht="15.75" x14ac:dyDescent="0.25">
      <c r="A169" s="257"/>
      <c r="B169" s="258"/>
      <c r="C169" s="258"/>
      <c r="D169" s="259"/>
      <c r="E169" s="259" t="s">
        <v>500</v>
      </c>
      <c r="F169" s="259" t="s">
        <v>500</v>
      </c>
      <c r="G169" s="259"/>
      <c r="H169" s="130">
        <v>2411</v>
      </c>
      <c r="I169" s="276" t="s">
        <v>392</v>
      </c>
      <c r="J169" s="262">
        <v>10000</v>
      </c>
      <c r="K169" s="262"/>
      <c r="L169" s="262"/>
      <c r="M169" s="94">
        <f t="shared" ref="M169:M171" si="53">J169+K169-L169</f>
        <v>10000</v>
      </c>
      <c r="N169" s="94">
        <v>10000</v>
      </c>
      <c r="O169" s="94"/>
      <c r="P169" s="94"/>
      <c r="Q169" s="94">
        <v>10000</v>
      </c>
      <c r="R169" s="94"/>
      <c r="S169" s="94"/>
      <c r="T169" s="94">
        <v>10000</v>
      </c>
      <c r="U169" s="94">
        <v>10000</v>
      </c>
      <c r="V169" s="94"/>
      <c r="W169" s="94">
        <f>T169+U169-V169</f>
        <v>20000</v>
      </c>
    </row>
    <row r="170" spans="1:23" ht="15.75" x14ac:dyDescent="0.25">
      <c r="A170" s="257"/>
      <c r="B170" s="258"/>
      <c r="C170" s="258"/>
      <c r="D170" s="259"/>
      <c r="E170" s="259" t="s">
        <v>500</v>
      </c>
      <c r="F170" s="259" t="s">
        <v>500</v>
      </c>
      <c r="G170" s="259"/>
      <c r="H170" s="130">
        <v>2421</v>
      </c>
      <c r="I170" s="276" t="s">
        <v>393</v>
      </c>
      <c r="J170" s="262">
        <v>15000</v>
      </c>
      <c r="K170" s="262"/>
      <c r="L170" s="262"/>
      <c r="M170" s="94">
        <f t="shared" si="53"/>
        <v>15000</v>
      </c>
      <c r="N170" s="94">
        <v>15000</v>
      </c>
      <c r="O170" s="94"/>
      <c r="P170" s="94"/>
      <c r="Q170" s="94">
        <v>15000</v>
      </c>
      <c r="R170" s="94"/>
      <c r="S170" s="94"/>
      <c r="T170" s="94">
        <v>15000</v>
      </c>
      <c r="U170" s="94">
        <v>10000</v>
      </c>
      <c r="V170" s="94"/>
      <c r="W170" s="94">
        <f>T170+U170-V170</f>
        <v>25000</v>
      </c>
    </row>
    <row r="171" spans="1:23" ht="15.75" x14ac:dyDescent="0.25">
      <c r="A171" s="257"/>
      <c r="B171" s="258"/>
      <c r="C171" s="258"/>
      <c r="D171" s="259"/>
      <c r="E171" s="259" t="s">
        <v>500</v>
      </c>
      <c r="F171" s="259" t="s">
        <v>500</v>
      </c>
      <c r="G171" s="259"/>
      <c r="H171" s="130">
        <v>2492</v>
      </c>
      <c r="I171" s="261" t="s">
        <v>80</v>
      </c>
      <c r="J171" s="262">
        <v>215000</v>
      </c>
      <c r="K171" s="262"/>
      <c r="L171" s="262"/>
      <c r="M171" s="94">
        <f t="shared" si="53"/>
        <v>215000</v>
      </c>
      <c r="N171" s="94">
        <v>245000</v>
      </c>
      <c r="O171" s="94"/>
      <c r="P171" s="94"/>
      <c r="Q171" s="94">
        <v>230000</v>
      </c>
      <c r="R171" s="94"/>
      <c r="S171" s="94"/>
      <c r="T171" s="94">
        <v>270000</v>
      </c>
      <c r="U171" s="94"/>
      <c r="V171" s="94"/>
      <c r="W171" s="94">
        <v>270000</v>
      </c>
    </row>
    <row r="172" spans="1:23" ht="15.75" x14ac:dyDescent="0.25">
      <c r="A172" s="219"/>
      <c r="B172" s="219"/>
      <c r="C172" s="219"/>
      <c r="D172" s="219"/>
      <c r="E172" s="220" t="s">
        <v>503</v>
      </c>
      <c r="F172" s="220" t="s">
        <v>503</v>
      </c>
      <c r="G172" s="219"/>
      <c r="H172" s="221"/>
      <c r="I172" s="169" t="s">
        <v>521</v>
      </c>
      <c r="J172" s="222">
        <v>0</v>
      </c>
      <c r="K172" s="222">
        <v>0</v>
      </c>
      <c r="L172" s="222">
        <v>0</v>
      </c>
      <c r="M172" s="222">
        <v>0</v>
      </c>
      <c r="N172" s="222">
        <v>0</v>
      </c>
      <c r="O172" s="222">
        <v>0</v>
      </c>
      <c r="P172" s="222">
        <v>0</v>
      </c>
      <c r="Q172" s="222">
        <v>0</v>
      </c>
      <c r="R172" s="222">
        <f t="shared" ref="R172:W172" si="54">R173</f>
        <v>855582.77</v>
      </c>
      <c r="S172" s="222">
        <f t="shared" si="54"/>
        <v>0</v>
      </c>
      <c r="T172" s="222">
        <f t="shared" si="54"/>
        <v>20</v>
      </c>
      <c r="U172" s="222">
        <f t="shared" si="54"/>
        <v>0</v>
      </c>
      <c r="V172" s="222">
        <f t="shared" si="54"/>
        <v>0</v>
      </c>
      <c r="W172" s="222">
        <f t="shared" si="54"/>
        <v>20</v>
      </c>
    </row>
    <row r="173" spans="1:23" ht="15.75" x14ac:dyDescent="0.25">
      <c r="A173" s="257"/>
      <c r="B173" s="258"/>
      <c r="C173" s="258"/>
      <c r="D173" s="259"/>
      <c r="E173" s="259"/>
      <c r="F173" s="259"/>
      <c r="G173" s="264" t="s">
        <v>516</v>
      </c>
      <c r="H173" s="265"/>
      <c r="I173" s="273" t="s">
        <v>391</v>
      </c>
      <c r="J173" s="268">
        <v>0</v>
      </c>
      <c r="K173" s="268">
        <v>0</v>
      </c>
      <c r="L173" s="268">
        <v>0</v>
      </c>
      <c r="M173" s="268">
        <v>0</v>
      </c>
      <c r="N173" s="268">
        <v>0</v>
      </c>
      <c r="O173" s="268">
        <v>0</v>
      </c>
      <c r="P173" s="268">
        <v>0</v>
      </c>
      <c r="Q173" s="268">
        <v>0</v>
      </c>
      <c r="R173" s="268">
        <f t="shared" ref="R173:T173" si="55">SUM(R174:R175)</f>
        <v>855582.77</v>
      </c>
      <c r="S173" s="268">
        <f t="shared" si="55"/>
        <v>0</v>
      </c>
      <c r="T173" s="268">
        <f t="shared" si="55"/>
        <v>20</v>
      </c>
      <c r="U173" s="268">
        <f t="shared" ref="U173:W173" si="56">SUM(U174:U175)</f>
        <v>0</v>
      </c>
      <c r="V173" s="268">
        <f t="shared" si="56"/>
        <v>0</v>
      </c>
      <c r="W173" s="268">
        <f t="shared" si="56"/>
        <v>20</v>
      </c>
    </row>
    <row r="174" spans="1:23" ht="23.25" customHeight="1" x14ac:dyDescent="0.25">
      <c r="A174" s="257"/>
      <c r="B174" s="258"/>
      <c r="C174" s="258"/>
      <c r="D174" s="259"/>
      <c r="E174" s="259" t="s">
        <v>502</v>
      </c>
      <c r="F174" s="259" t="s">
        <v>502</v>
      </c>
      <c r="G174" s="259"/>
      <c r="H174" s="130">
        <v>3321</v>
      </c>
      <c r="I174" s="261" t="s">
        <v>103</v>
      </c>
      <c r="J174" s="262">
        <v>0</v>
      </c>
      <c r="K174" s="262"/>
      <c r="L174" s="262"/>
      <c r="M174" s="94">
        <f t="shared" ref="M174:M175" si="57">J174+K174-L174</f>
        <v>0</v>
      </c>
      <c r="N174" s="94">
        <v>0</v>
      </c>
      <c r="O174" s="94">
        <v>0</v>
      </c>
      <c r="P174" s="94">
        <v>0</v>
      </c>
      <c r="Q174" s="94">
        <v>0</v>
      </c>
      <c r="R174" s="94">
        <v>0</v>
      </c>
      <c r="S174" s="94">
        <v>0</v>
      </c>
      <c r="T174" s="94">
        <v>10</v>
      </c>
      <c r="U174" s="94"/>
      <c r="V174" s="94"/>
      <c r="W174" s="94">
        <v>10</v>
      </c>
    </row>
    <row r="175" spans="1:23" ht="33.75" customHeight="1" x14ac:dyDescent="0.25">
      <c r="A175" s="257"/>
      <c r="B175" s="258"/>
      <c r="C175" s="258"/>
      <c r="D175" s="259"/>
      <c r="E175" s="259" t="s">
        <v>503</v>
      </c>
      <c r="F175" s="259" t="s">
        <v>503</v>
      </c>
      <c r="G175" s="259"/>
      <c r="H175" s="130">
        <v>3571</v>
      </c>
      <c r="I175" s="261" t="s">
        <v>407</v>
      </c>
      <c r="J175" s="262">
        <v>0</v>
      </c>
      <c r="K175" s="262"/>
      <c r="L175" s="262"/>
      <c r="M175" s="94">
        <f t="shared" si="57"/>
        <v>0</v>
      </c>
      <c r="N175" s="94">
        <v>0</v>
      </c>
      <c r="O175" s="94">
        <v>0</v>
      </c>
      <c r="P175" s="94">
        <v>0</v>
      </c>
      <c r="Q175" s="94">
        <v>0</v>
      </c>
      <c r="R175" s="94">
        <v>855582.77</v>
      </c>
      <c r="S175" s="94">
        <v>0</v>
      </c>
      <c r="T175" s="94">
        <v>10</v>
      </c>
      <c r="U175" s="94"/>
      <c r="V175" s="94"/>
      <c r="W175" s="94">
        <v>10</v>
      </c>
    </row>
    <row r="176" spans="1:23" ht="17.25" x14ac:dyDescent="0.3">
      <c r="A176" s="439" t="s">
        <v>519</v>
      </c>
      <c r="B176" s="439"/>
      <c r="C176" s="439"/>
      <c r="D176" s="439"/>
      <c r="E176" s="439"/>
      <c r="F176" s="439"/>
      <c r="G176" s="439"/>
      <c r="H176" s="439"/>
      <c r="I176" s="440"/>
      <c r="J176" s="254">
        <f>SUM(J116+J102+J54+J48+J8)</f>
        <v>17315484.17357805</v>
      </c>
      <c r="K176" s="254">
        <f>SUM(K116+K102+K54+K48+K8)</f>
        <v>2582609.0499999998</v>
      </c>
      <c r="L176" s="254">
        <f>SUM(L116+L102+L54+L48+L8)</f>
        <v>0</v>
      </c>
      <c r="M176" s="254">
        <f>SUM(M116+M102+M54+M48+M8)</f>
        <v>19898093.223578051</v>
      </c>
      <c r="N176" s="254">
        <v>19729061.967595689</v>
      </c>
      <c r="O176" s="254">
        <f t="shared" ref="O176:T176" si="58">SUM(O116+O102+O54+O48+O8)</f>
        <v>4017416.1450116774</v>
      </c>
      <c r="P176" s="254">
        <f t="shared" si="58"/>
        <v>1054500</v>
      </c>
      <c r="Q176" s="254">
        <f t="shared" si="58"/>
        <v>21518856.658494901</v>
      </c>
      <c r="R176" s="254">
        <f t="shared" si="58"/>
        <v>2200442.3547754702</v>
      </c>
      <c r="S176" s="254">
        <f t="shared" si="58"/>
        <v>387346.41000000003</v>
      </c>
      <c r="T176" s="254">
        <f t="shared" si="58"/>
        <v>22399370.93060974</v>
      </c>
      <c r="U176" s="254">
        <f t="shared" ref="U176:W176" si="59">SUM(U116+U102+U54+U48+U8)</f>
        <v>7196531.2000000002</v>
      </c>
      <c r="V176" s="254">
        <f t="shared" si="59"/>
        <v>0</v>
      </c>
      <c r="W176" s="254">
        <f t="shared" si="59"/>
        <v>29595902.130609736</v>
      </c>
    </row>
    <row r="177" spans="1:25" ht="17.25" x14ac:dyDescent="0.3">
      <c r="A177" s="436" t="s">
        <v>520</v>
      </c>
      <c r="B177" s="436"/>
      <c r="C177" s="436"/>
      <c r="D177" s="436"/>
      <c r="E177" s="436"/>
      <c r="F177" s="436"/>
      <c r="G177" s="436"/>
      <c r="H177" s="436"/>
      <c r="I177" s="437"/>
      <c r="J177" s="256">
        <f>J46+J6</f>
        <v>17315484.17357805</v>
      </c>
      <c r="K177" s="256">
        <f>K46+K6</f>
        <v>2582609.0499999998</v>
      </c>
      <c r="L177" s="256">
        <f>L46+L6</f>
        <v>0</v>
      </c>
      <c r="M177" s="256">
        <f>M46+M6</f>
        <v>19898093.223578051</v>
      </c>
      <c r="N177" s="256">
        <v>19729061.967595689</v>
      </c>
      <c r="O177" s="256">
        <f t="shared" ref="O177:T177" si="60">O46+O6</f>
        <v>4017416.1450116774</v>
      </c>
      <c r="P177" s="256">
        <f t="shared" si="60"/>
        <v>1054500</v>
      </c>
      <c r="Q177" s="256">
        <f t="shared" si="60"/>
        <v>21518856.658494901</v>
      </c>
      <c r="R177" s="256">
        <f t="shared" si="60"/>
        <v>2200442.3547754707</v>
      </c>
      <c r="S177" s="256">
        <f t="shared" si="60"/>
        <v>387346.41000000003</v>
      </c>
      <c r="T177" s="256">
        <f t="shared" si="60"/>
        <v>22399370.93060974</v>
      </c>
      <c r="U177" s="256">
        <f t="shared" ref="U177:W177" si="61">U46+U6</f>
        <v>7196531.2000000002</v>
      </c>
      <c r="V177" s="256">
        <f t="shared" si="61"/>
        <v>0</v>
      </c>
      <c r="W177" s="256">
        <f t="shared" si="61"/>
        <v>29595902.130609736</v>
      </c>
      <c r="Y177" s="89"/>
    </row>
    <row r="178" spans="1:25" ht="15.75" x14ac:dyDescent="0.25">
      <c r="A178" s="87"/>
      <c r="B178" s="255"/>
      <c r="C178" s="255"/>
      <c r="D178" s="255"/>
      <c r="E178" s="255"/>
      <c r="F178" s="255"/>
      <c r="G178" s="255"/>
      <c r="H178" s="255"/>
      <c r="I178" s="255"/>
      <c r="J178" s="89"/>
      <c r="O178" s="89"/>
      <c r="V178" s="89"/>
    </row>
    <row r="179" spans="1:25" ht="15.75" x14ac:dyDescent="0.25">
      <c r="A179" s="87"/>
      <c r="B179" s="255"/>
      <c r="C179" s="255"/>
      <c r="D179" s="255"/>
      <c r="E179" s="255"/>
      <c r="F179" s="255"/>
      <c r="G179" s="255"/>
      <c r="H179" s="255"/>
      <c r="I179" s="255"/>
      <c r="J179" s="89"/>
      <c r="P179" s="89">
        <f>'PRONOSTICO 1RA ING '!D121-'PRES EGRESO PROG 2025'!N177</f>
        <v>-1.0000000037252903</v>
      </c>
      <c r="V179" s="89"/>
    </row>
    <row r="180" spans="1:25" ht="17.25" x14ac:dyDescent="0.3">
      <c r="A180" s="87"/>
      <c r="B180" s="255"/>
      <c r="C180" s="255"/>
      <c r="D180" s="255"/>
      <c r="E180" s="255"/>
      <c r="F180" s="255"/>
      <c r="G180" s="255"/>
      <c r="H180" s="255"/>
      <c r="I180" s="255"/>
      <c r="J180" s="263"/>
      <c r="M180" s="89"/>
      <c r="N180" s="89"/>
    </row>
    <row r="181" spans="1:25" ht="15.75" x14ac:dyDescent="0.25">
      <c r="A181" s="87"/>
      <c r="B181" s="255"/>
      <c r="C181" s="255"/>
      <c r="D181" s="255"/>
      <c r="E181" s="255"/>
      <c r="F181" s="255"/>
      <c r="G181" s="255"/>
      <c r="H181" s="255"/>
      <c r="I181" s="255"/>
      <c r="R181" s="89"/>
      <c r="W181" s="89"/>
      <c r="Y181" s="89"/>
    </row>
    <row r="182" spans="1:25" ht="15.75" x14ac:dyDescent="0.25">
      <c r="A182" s="87"/>
      <c r="B182" s="255"/>
      <c r="C182" s="255"/>
      <c r="D182" s="255"/>
      <c r="E182" s="255"/>
      <c r="F182" s="255"/>
      <c r="G182" s="255"/>
      <c r="H182" s="255"/>
      <c r="I182" s="255"/>
      <c r="R182" s="89"/>
      <c r="S182" s="89"/>
      <c r="T182" s="142"/>
    </row>
    <row r="183" spans="1:25" ht="15.75" x14ac:dyDescent="0.25">
      <c r="A183" s="87"/>
      <c r="B183" s="87"/>
      <c r="C183" s="87"/>
      <c r="D183" s="87"/>
      <c r="E183" s="87"/>
      <c r="F183" s="87"/>
      <c r="G183" s="87"/>
      <c r="H183" s="87"/>
      <c r="I183" s="87"/>
    </row>
    <row r="184" spans="1:25" ht="15.75" x14ac:dyDescent="0.25">
      <c r="A184" s="87"/>
      <c r="B184" s="87"/>
      <c r="C184" s="87"/>
      <c r="D184" s="87"/>
      <c r="E184" s="87"/>
      <c r="F184" s="87"/>
      <c r="G184" s="87"/>
      <c r="H184" s="87"/>
      <c r="I184" s="87"/>
    </row>
    <row r="185" spans="1:25" ht="15.75" x14ac:dyDescent="0.25">
      <c r="A185" s="87"/>
      <c r="B185" s="87"/>
      <c r="C185" s="87"/>
      <c r="D185" s="87"/>
      <c r="E185" s="87"/>
      <c r="F185" s="87"/>
      <c r="G185" s="87"/>
      <c r="H185" s="87"/>
      <c r="I185" s="87"/>
    </row>
    <row r="186" spans="1:25" ht="15.75" x14ac:dyDescent="0.25">
      <c r="A186" s="87"/>
      <c r="B186" s="87"/>
      <c r="C186" s="87"/>
      <c r="D186" s="87"/>
      <c r="E186" s="87"/>
      <c r="F186" s="87"/>
      <c r="G186" s="87"/>
      <c r="H186" s="87"/>
      <c r="I186" s="87"/>
    </row>
    <row r="187" spans="1:25" ht="15.75" x14ac:dyDescent="0.25">
      <c r="A187" s="87"/>
      <c r="B187" s="87"/>
      <c r="C187" s="87"/>
      <c r="D187" s="87"/>
      <c r="E187" s="87"/>
      <c r="F187" s="87"/>
      <c r="G187" s="87"/>
      <c r="H187" s="87"/>
      <c r="I187" s="87"/>
    </row>
    <row r="188" spans="1:25" ht="15.75" x14ac:dyDescent="0.25">
      <c r="A188" s="87"/>
      <c r="B188" s="87"/>
      <c r="C188" s="87"/>
      <c r="D188" s="87"/>
      <c r="E188" s="87"/>
      <c r="F188" s="87"/>
      <c r="G188" s="87"/>
      <c r="H188" s="87"/>
      <c r="I188" s="87"/>
    </row>
    <row r="189" spans="1:25" ht="15.75" x14ac:dyDescent="0.25">
      <c r="A189" s="87"/>
      <c r="B189" s="87"/>
      <c r="C189" s="87"/>
      <c r="D189" s="87"/>
      <c r="E189" s="87"/>
      <c r="F189" s="87"/>
      <c r="G189" s="87"/>
      <c r="H189" s="87"/>
      <c r="I189" s="88"/>
    </row>
    <row r="190" spans="1:25" s="89" customFormat="1" ht="15.75" x14ac:dyDescent="0.25">
      <c r="A190" s="87"/>
      <c r="B190" s="87"/>
      <c r="C190" s="87"/>
      <c r="D190" s="87"/>
      <c r="E190" s="87"/>
      <c r="F190" s="87"/>
      <c r="G190" s="87"/>
      <c r="H190" s="87"/>
      <c r="I190" s="88"/>
    </row>
    <row r="191" spans="1:25" s="89" customFormat="1" ht="15.75" x14ac:dyDescent="0.25">
      <c r="A191" s="87"/>
      <c r="B191" s="87"/>
      <c r="C191" s="87"/>
      <c r="D191" s="87"/>
      <c r="E191" s="87"/>
      <c r="F191" s="87"/>
      <c r="G191" s="87"/>
      <c r="H191" s="87"/>
      <c r="I191" s="87"/>
    </row>
    <row r="192" spans="1:25" s="89" customFormat="1" ht="15.75" x14ac:dyDescent="0.25">
      <c r="A192" s="87"/>
      <c r="B192" s="87"/>
      <c r="C192" s="87"/>
      <c r="D192" s="87"/>
      <c r="E192" s="87"/>
      <c r="F192" s="87"/>
      <c r="G192" s="87"/>
      <c r="H192" s="87"/>
      <c r="I192" s="87"/>
    </row>
    <row r="193" spans="1:9" s="89" customFormat="1" ht="15.75" x14ac:dyDescent="0.25">
      <c r="A193" s="87"/>
      <c r="B193" s="87"/>
      <c r="C193" s="87"/>
      <c r="D193" s="87"/>
      <c r="E193" s="87"/>
      <c r="F193" s="87"/>
      <c r="G193" s="87"/>
      <c r="H193" s="87"/>
      <c r="I193" s="87"/>
    </row>
    <row r="194" spans="1:9" s="89" customFormat="1" ht="15.75" x14ac:dyDescent="0.25">
      <c r="A194" s="87"/>
      <c r="B194" s="87"/>
      <c r="C194" s="87"/>
      <c r="D194" s="87"/>
      <c r="E194" s="87"/>
      <c r="F194" s="87"/>
      <c r="G194" s="87"/>
      <c r="H194" s="87"/>
      <c r="I194" s="87"/>
    </row>
    <row r="195" spans="1:9" s="89" customFormat="1" ht="15.75" x14ac:dyDescent="0.25">
      <c r="A195" s="87"/>
      <c r="B195" s="87"/>
      <c r="C195" s="87"/>
      <c r="D195" s="87"/>
      <c r="E195" s="87"/>
      <c r="F195" s="87"/>
      <c r="G195" s="87"/>
      <c r="H195" s="87"/>
      <c r="I195" s="87"/>
    </row>
    <row r="196" spans="1:9" s="89" customFormat="1" ht="15.75" x14ac:dyDescent="0.25">
      <c r="A196" s="87"/>
      <c r="B196" s="87"/>
      <c r="C196" s="87"/>
      <c r="D196" s="87"/>
      <c r="E196" s="87"/>
      <c r="F196" s="87"/>
      <c r="G196" s="87"/>
      <c r="H196" s="87"/>
      <c r="I196" s="88"/>
    </row>
    <row r="197" spans="1:9" s="89" customFormat="1" ht="15.75" x14ac:dyDescent="0.25">
      <c r="A197" s="87"/>
      <c r="B197" s="87"/>
      <c r="C197" s="87"/>
      <c r="D197" s="87"/>
      <c r="E197" s="87"/>
      <c r="F197" s="87"/>
      <c r="G197" s="87"/>
      <c r="H197" s="87"/>
      <c r="I197" s="88"/>
    </row>
    <row r="198" spans="1:9" s="89" customFormat="1" ht="15.75" x14ac:dyDescent="0.25">
      <c r="A198" s="87"/>
      <c r="B198" s="87"/>
      <c r="C198" s="87"/>
      <c r="D198" s="87"/>
      <c r="E198" s="87"/>
      <c r="F198" s="87"/>
      <c r="G198" s="87"/>
      <c r="H198" s="87"/>
      <c r="I198" s="87"/>
    </row>
    <row r="199" spans="1:9" s="89" customFormat="1" ht="15.75" x14ac:dyDescent="0.25">
      <c r="A199" s="87"/>
      <c r="B199" s="87"/>
      <c r="C199" s="87"/>
      <c r="D199" s="87"/>
      <c r="E199" s="87"/>
      <c r="F199" s="87"/>
      <c r="G199" s="87"/>
      <c r="H199" s="87"/>
      <c r="I199" s="88"/>
    </row>
    <row r="200" spans="1:9" s="89" customFormat="1" ht="15.75" x14ac:dyDescent="0.25">
      <c r="A200" s="87"/>
      <c r="B200" s="87"/>
      <c r="C200" s="87"/>
      <c r="D200" s="87"/>
      <c r="E200" s="87"/>
      <c r="F200" s="87"/>
      <c r="G200" s="87"/>
      <c r="H200" s="87"/>
      <c r="I200" s="88"/>
    </row>
    <row r="201" spans="1:9" s="89" customFormat="1" ht="15.75" x14ac:dyDescent="0.25">
      <c r="A201" s="87"/>
      <c r="B201" s="87"/>
      <c r="C201" s="87"/>
      <c r="D201" s="87"/>
      <c r="E201" s="87"/>
      <c r="F201" s="87"/>
      <c r="G201" s="87"/>
      <c r="H201" s="87"/>
      <c r="I201" s="87"/>
    </row>
    <row r="202" spans="1:9" s="89" customFormat="1" ht="15.75" x14ac:dyDescent="0.25">
      <c r="A202" s="87"/>
      <c r="B202" s="87"/>
      <c r="C202" s="87"/>
      <c r="D202" s="87"/>
      <c r="E202" s="87"/>
      <c r="F202" s="87"/>
      <c r="G202" s="87"/>
      <c r="H202" s="87"/>
      <c r="I202" s="87"/>
    </row>
    <row r="203" spans="1:9" s="89" customFormat="1" ht="15.75" x14ac:dyDescent="0.25">
      <c r="A203" s="87"/>
      <c r="B203" s="87"/>
      <c r="C203" s="87"/>
      <c r="D203" s="87"/>
      <c r="E203" s="87"/>
      <c r="F203" s="87"/>
      <c r="G203" s="87"/>
      <c r="H203" s="87"/>
      <c r="I203" s="87"/>
    </row>
    <row r="204" spans="1:9" s="89" customFormat="1" ht="15.75" x14ac:dyDescent="0.25">
      <c r="A204" s="87"/>
      <c r="B204" s="87"/>
      <c r="C204" s="87"/>
      <c r="D204" s="87"/>
      <c r="E204" s="87"/>
      <c r="F204" s="87"/>
      <c r="G204" s="87"/>
      <c r="H204" s="87"/>
      <c r="I204" s="87"/>
    </row>
    <row r="205" spans="1:9" s="89" customFormat="1" ht="15.75" x14ac:dyDescent="0.25">
      <c r="A205" s="87"/>
      <c r="B205" s="87"/>
      <c r="C205" s="87"/>
      <c r="D205" s="87"/>
      <c r="E205" s="87"/>
      <c r="F205" s="87"/>
      <c r="G205" s="87"/>
      <c r="H205" s="87"/>
      <c r="I205" s="87"/>
    </row>
    <row r="206" spans="1:9" s="89" customFormat="1" ht="15.75" x14ac:dyDescent="0.25">
      <c r="A206" s="87"/>
      <c r="B206" s="87"/>
      <c r="C206" s="87"/>
      <c r="D206" s="87"/>
      <c r="E206" s="87"/>
      <c r="F206" s="87"/>
      <c r="G206" s="87"/>
      <c r="H206" s="87"/>
      <c r="I206" s="87"/>
    </row>
    <row r="207" spans="1:9" s="89" customFormat="1" ht="15.75" x14ac:dyDescent="0.25">
      <c r="A207" s="87"/>
      <c r="B207" s="87"/>
      <c r="C207" s="87"/>
      <c r="D207" s="87"/>
      <c r="E207" s="87"/>
      <c r="F207" s="87"/>
      <c r="G207" s="87"/>
      <c r="H207" s="87"/>
      <c r="I207" s="87"/>
    </row>
    <row r="208" spans="1:9" s="89" customFormat="1" ht="15.75" x14ac:dyDescent="0.25">
      <c r="A208" s="87"/>
      <c r="B208" s="87"/>
      <c r="C208" s="87"/>
      <c r="D208" s="87"/>
      <c r="E208" s="87"/>
      <c r="F208" s="87"/>
      <c r="G208" s="87"/>
      <c r="H208" s="87"/>
      <c r="I208" s="87"/>
    </row>
    <row r="209" spans="1:9" s="89" customFormat="1" ht="15.75" x14ac:dyDescent="0.25">
      <c r="A209" s="87"/>
      <c r="B209" s="87"/>
      <c r="C209" s="87"/>
      <c r="D209" s="87"/>
      <c r="E209" s="87"/>
      <c r="F209" s="87"/>
      <c r="G209" s="87"/>
      <c r="H209" s="87"/>
      <c r="I209" s="87"/>
    </row>
    <row r="210" spans="1:9" s="89" customFormat="1" ht="15.75" x14ac:dyDescent="0.25">
      <c r="A210" s="87"/>
      <c r="B210" s="87"/>
      <c r="C210" s="87"/>
      <c r="D210" s="87"/>
      <c r="E210" s="87"/>
      <c r="F210" s="87"/>
      <c r="G210" s="87"/>
      <c r="H210" s="87"/>
      <c r="I210" s="87"/>
    </row>
    <row r="211" spans="1:9" s="89" customFormat="1" ht="15.75" x14ac:dyDescent="0.25">
      <c r="A211" s="87"/>
      <c r="B211" s="87"/>
      <c r="C211" s="87"/>
      <c r="D211" s="87"/>
      <c r="E211" s="87"/>
      <c r="F211" s="87"/>
      <c r="G211" s="87"/>
      <c r="H211" s="87"/>
      <c r="I211" s="87"/>
    </row>
    <row r="212" spans="1:9" s="89" customFormat="1" ht="15.75" x14ac:dyDescent="0.25">
      <c r="A212" s="87"/>
      <c r="B212" s="87"/>
      <c r="C212" s="87"/>
      <c r="D212" s="87"/>
      <c r="E212" s="87"/>
      <c r="F212" s="87"/>
      <c r="G212" s="87"/>
      <c r="H212" s="87"/>
      <c r="I212" s="87"/>
    </row>
    <row r="213" spans="1:9" s="89" customFormat="1" ht="15.75" x14ac:dyDescent="0.25">
      <c r="A213" s="87"/>
      <c r="B213" s="87"/>
      <c r="C213" s="87"/>
      <c r="D213" s="87"/>
      <c r="E213" s="87"/>
      <c r="F213" s="87"/>
      <c r="G213" s="87"/>
      <c r="H213" s="87"/>
      <c r="I213" s="87"/>
    </row>
    <row r="214" spans="1:9" s="89" customFormat="1" ht="15.75" x14ac:dyDescent="0.25">
      <c r="A214" s="87"/>
      <c r="B214" s="87"/>
      <c r="C214" s="87"/>
      <c r="D214" s="87"/>
      <c r="E214" s="87"/>
      <c r="F214" s="87"/>
      <c r="G214" s="87"/>
      <c r="H214" s="87"/>
      <c r="I214" s="87"/>
    </row>
    <row r="215" spans="1:9" s="89" customFormat="1" ht="15.75" x14ac:dyDescent="0.25">
      <c r="A215" s="87"/>
      <c r="B215" s="87"/>
      <c r="C215" s="87"/>
      <c r="D215" s="87"/>
      <c r="E215" s="87"/>
      <c r="F215" s="87"/>
      <c r="G215" s="87"/>
      <c r="H215" s="87"/>
      <c r="I215" s="87"/>
    </row>
    <row r="216" spans="1:9" s="89" customFormat="1" ht="15.75" x14ac:dyDescent="0.25">
      <c r="A216" s="87"/>
      <c r="B216" s="87"/>
      <c r="C216" s="87"/>
      <c r="D216" s="87"/>
      <c r="E216" s="87"/>
      <c r="F216" s="87"/>
      <c r="G216" s="87"/>
      <c r="H216" s="87"/>
      <c r="I216" s="87"/>
    </row>
    <row r="217" spans="1:9" s="89" customFormat="1" ht="15.75" x14ac:dyDescent="0.25">
      <c r="A217" s="87"/>
      <c r="B217" s="87"/>
      <c r="C217" s="87"/>
      <c r="D217" s="87"/>
      <c r="E217" s="87"/>
      <c r="F217" s="87"/>
      <c r="G217" s="87"/>
      <c r="H217" s="87"/>
      <c r="I217" s="87"/>
    </row>
    <row r="218" spans="1:9" s="89" customFormat="1" ht="15.75" x14ac:dyDescent="0.25">
      <c r="A218" s="87"/>
      <c r="B218" s="87"/>
      <c r="C218" s="87"/>
      <c r="D218" s="87"/>
      <c r="E218" s="87"/>
      <c r="F218" s="87"/>
      <c r="G218" s="87"/>
      <c r="H218" s="87"/>
      <c r="I218" s="87"/>
    </row>
    <row r="219" spans="1:9" s="89" customFormat="1" ht="15.75" x14ac:dyDescent="0.25">
      <c r="A219" s="87"/>
      <c r="B219" s="87"/>
      <c r="C219" s="87"/>
      <c r="D219" s="87"/>
      <c r="E219" s="87"/>
      <c r="F219" s="87"/>
      <c r="G219" s="87"/>
      <c r="H219" s="87"/>
      <c r="I219" s="87"/>
    </row>
    <row r="220" spans="1:9" s="89" customFormat="1" ht="15.75" x14ac:dyDescent="0.25">
      <c r="A220" s="87"/>
      <c r="B220" s="87"/>
      <c r="C220" s="87"/>
      <c r="D220" s="87"/>
      <c r="E220" s="87"/>
      <c r="F220" s="87"/>
      <c r="G220" s="87"/>
      <c r="H220" s="87"/>
      <c r="I220" s="87"/>
    </row>
    <row r="221" spans="1:9" s="89" customFormat="1" ht="15.75" x14ac:dyDescent="0.25">
      <c r="A221" s="87"/>
      <c r="B221" s="87"/>
      <c r="C221" s="87"/>
      <c r="D221" s="87"/>
      <c r="E221" s="87"/>
      <c r="F221" s="87"/>
      <c r="G221" s="87"/>
      <c r="H221" s="87"/>
      <c r="I221" s="87"/>
    </row>
    <row r="222" spans="1:9" s="89" customFormat="1" ht="15.75" x14ac:dyDescent="0.25">
      <c r="A222" s="87"/>
      <c r="B222" s="87"/>
      <c r="C222" s="87"/>
      <c r="D222" s="87"/>
      <c r="E222" s="87"/>
      <c r="F222" s="87"/>
      <c r="G222" s="87"/>
      <c r="H222" s="87"/>
      <c r="I222" s="87"/>
    </row>
    <row r="223" spans="1:9" s="89" customFormat="1" ht="15.75" x14ac:dyDescent="0.25">
      <c r="A223" s="87"/>
      <c r="B223" s="87"/>
      <c r="C223" s="87"/>
      <c r="D223" s="87"/>
      <c r="E223" s="87"/>
      <c r="F223" s="87"/>
      <c r="G223" s="87"/>
      <c r="H223" s="87"/>
      <c r="I223" s="87"/>
    </row>
    <row r="224" spans="1:9" s="89" customFormat="1" ht="15.75" x14ac:dyDescent="0.25">
      <c r="A224" s="87"/>
      <c r="B224" s="87"/>
      <c r="C224" s="87"/>
      <c r="D224" s="87"/>
      <c r="E224" s="87"/>
      <c r="F224" s="87"/>
      <c r="G224" s="87"/>
      <c r="H224" s="87"/>
      <c r="I224" s="87"/>
    </row>
    <row r="225" spans="1:9" s="89" customFormat="1" ht="15.75" x14ac:dyDescent="0.25">
      <c r="A225" s="87"/>
      <c r="B225" s="87"/>
      <c r="C225" s="87"/>
      <c r="D225" s="87"/>
      <c r="E225" s="87"/>
      <c r="F225" s="87"/>
      <c r="G225" s="87"/>
      <c r="H225" s="87"/>
      <c r="I225" s="87"/>
    </row>
    <row r="226" spans="1:9" s="89" customFormat="1" ht="15.75" x14ac:dyDescent="0.25">
      <c r="A226" s="87"/>
      <c r="B226" s="87"/>
      <c r="C226" s="87"/>
      <c r="D226" s="87"/>
      <c r="E226" s="87"/>
      <c r="F226" s="87"/>
      <c r="G226" s="87"/>
      <c r="H226" s="87"/>
      <c r="I226" s="87"/>
    </row>
    <row r="227" spans="1:9" s="89" customFormat="1" ht="15.75" x14ac:dyDescent="0.25">
      <c r="A227" s="87"/>
      <c r="B227" s="87"/>
      <c r="C227" s="87"/>
      <c r="D227" s="87"/>
      <c r="E227" s="87"/>
      <c r="F227" s="87"/>
      <c r="G227" s="87"/>
      <c r="H227" s="87"/>
      <c r="I227" s="87"/>
    </row>
    <row r="228" spans="1:9" s="89" customFormat="1" ht="15.75" x14ac:dyDescent="0.25">
      <c r="A228" s="87"/>
      <c r="B228" s="87"/>
      <c r="C228" s="87"/>
      <c r="D228" s="87"/>
      <c r="E228" s="87"/>
      <c r="F228" s="87"/>
      <c r="G228" s="87"/>
      <c r="H228" s="87"/>
      <c r="I228" s="87"/>
    </row>
    <row r="229" spans="1:9" s="89" customFormat="1" ht="15.75" x14ac:dyDescent="0.25">
      <c r="A229" s="87"/>
      <c r="B229" s="87"/>
      <c r="C229" s="87"/>
      <c r="D229" s="87"/>
      <c r="E229" s="87"/>
      <c r="F229" s="87"/>
      <c r="G229" s="87"/>
      <c r="H229" s="87"/>
      <c r="I229" s="87"/>
    </row>
    <row r="230" spans="1:9" s="89" customFormat="1" ht="15.75" x14ac:dyDescent="0.25">
      <c r="A230" s="87"/>
      <c r="B230" s="87"/>
      <c r="C230" s="87"/>
      <c r="D230" s="87"/>
      <c r="E230" s="87"/>
      <c r="F230" s="87"/>
      <c r="G230" s="87"/>
      <c r="H230" s="87"/>
      <c r="I230" s="87"/>
    </row>
    <row r="231" spans="1:9" s="89" customFormat="1" ht="15.75" x14ac:dyDescent="0.25">
      <c r="A231" s="87"/>
      <c r="B231" s="87"/>
      <c r="C231" s="87"/>
      <c r="D231" s="87"/>
      <c r="E231" s="87"/>
      <c r="F231" s="87"/>
      <c r="G231" s="87"/>
      <c r="H231" s="87"/>
      <c r="I231" s="87"/>
    </row>
    <row r="232" spans="1:9" s="89" customFormat="1" ht="15.75" x14ac:dyDescent="0.25">
      <c r="A232" s="87"/>
      <c r="B232" s="87"/>
      <c r="C232" s="87"/>
      <c r="D232" s="87"/>
      <c r="E232" s="87"/>
      <c r="F232" s="87"/>
      <c r="G232" s="87"/>
      <c r="H232" s="87"/>
      <c r="I232" s="87"/>
    </row>
    <row r="233" spans="1:9" s="89" customFormat="1" ht="15.75" x14ac:dyDescent="0.25">
      <c r="A233" s="87"/>
      <c r="B233" s="87"/>
      <c r="C233" s="87"/>
      <c r="D233" s="87"/>
      <c r="E233" s="87"/>
      <c r="F233" s="87"/>
      <c r="G233" s="87"/>
      <c r="H233" s="87"/>
      <c r="I233" s="87"/>
    </row>
    <row r="234" spans="1:9" s="89" customFormat="1" ht="15.75" x14ac:dyDescent="0.25">
      <c r="A234" s="87"/>
      <c r="B234" s="87"/>
      <c r="C234" s="87"/>
      <c r="D234" s="87"/>
      <c r="E234" s="87"/>
      <c r="F234" s="87"/>
      <c r="G234" s="87"/>
      <c r="H234" s="87"/>
      <c r="I234" s="87"/>
    </row>
    <row r="235" spans="1:9" s="89" customFormat="1" ht="15.75" x14ac:dyDescent="0.25">
      <c r="A235" s="87"/>
      <c r="B235" s="87"/>
      <c r="C235" s="87"/>
      <c r="D235" s="87"/>
      <c r="E235" s="87"/>
      <c r="F235" s="87"/>
      <c r="G235" s="87"/>
      <c r="H235" s="87"/>
      <c r="I235" s="87"/>
    </row>
    <row r="236" spans="1:9" s="89" customFormat="1" ht="15.75" x14ac:dyDescent="0.25">
      <c r="A236" s="87"/>
      <c r="B236" s="87"/>
      <c r="C236" s="87"/>
      <c r="D236" s="87"/>
      <c r="E236" s="87"/>
      <c r="F236" s="87"/>
      <c r="G236" s="87"/>
      <c r="H236" s="87"/>
      <c r="I236" s="87"/>
    </row>
    <row r="237" spans="1:9" s="89" customFormat="1" ht="15.75" x14ac:dyDescent="0.25">
      <c r="A237" s="87"/>
      <c r="B237" s="87"/>
      <c r="C237" s="87"/>
      <c r="D237" s="87"/>
      <c r="E237" s="87"/>
      <c r="F237" s="87"/>
      <c r="G237" s="87"/>
      <c r="H237" s="87"/>
      <c r="I237" s="87"/>
    </row>
    <row r="238" spans="1:9" s="89" customFormat="1" ht="15.75" x14ac:dyDescent="0.25">
      <c r="A238" s="87"/>
      <c r="B238" s="87"/>
      <c r="C238" s="87"/>
      <c r="D238" s="87"/>
      <c r="E238" s="87"/>
      <c r="F238" s="87"/>
      <c r="G238" s="87"/>
      <c r="H238" s="87"/>
      <c r="I238" s="87"/>
    </row>
    <row r="239" spans="1:9" s="89" customFormat="1" ht="15.75" x14ac:dyDescent="0.25">
      <c r="A239" s="87"/>
      <c r="B239" s="87"/>
      <c r="C239" s="87"/>
      <c r="D239" s="87"/>
      <c r="E239" s="87"/>
      <c r="F239" s="87"/>
      <c r="G239" s="87"/>
      <c r="H239" s="87"/>
      <c r="I239" s="87"/>
    </row>
    <row r="240" spans="1:9" s="89" customFormat="1" ht="15.75" x14ac:dyDescent="0.25">
      <c r="A240" s="87"/>
      <c r="B240" s="87"/>
      <c r="C240" s="87"/>
      <c r="D240" s="87"/>
      <c r="E240" s="87"/>
      <c r="F240" s="87"/>
      <c r="G240" s="87"/>
      <c r="H240" s="87"/>
      <c r="I240" s="87"/>
    </row>
    <row r="241" spans="1:9" s="89" customFormat="1" ht="15.75" x14ac:dyDescent="0.25">
      <c r="A241" s="87"/>
      <c r="B241" s="87"/>
      <c r="C241" s="87"/>
      <c r="D241" s="87"/>
      <c r="E241" s="87"/>
      <c r="F241" s="87"/>
      <c r="G241" s="87"/>
      <c r="H241" s="87"/>
      <c r="I241" s="87"/>
    </row>
    <row r="242" spans="1:9" s="89" customFormat="1" ht="15.75" x14ac:dyDescent="0.25">
      <c r="A242" s="87"/>
      <c r="B242" s="87"/>
      <c r="C242" s="87"/>
      <c r="D242" s="87"/>
      <c r="E242" s="87"/>
      <c r="F242" s="87"/>
      <c r="G242" s="87"/>
      <c r="H242" s="87"/>
      <c r="I242" s="87"/>
    </row>
  </sheetData>
  <autoFilter ref="A5:I179" xr:uid="{00000000-0009-0000-0000-000003000000}"/>
  <sortState xmlns:xlrd2="http://schemas.microsoft.com/office/spreadsheetml/2017/richdata2" ref="A165:I196">
    <sortCondition ref="H165:H196"/>
  </sortState>
  <mergeCells count="5">
    <mergeCell ref="A177:I177"/>
    <mergeCell ref="A3:I3"/>
    <mergeCell ref="A176:I176"/>
    <mergeCell ref="A1:W1"/>
    <mergeCell ref="A2:W2"/>
  </mergeCells>
  <pageMargins left="0.23622047244094488" right="0.23622047244094488" top="0.74803149606299213" bottom="0.78740157480314965" header="0.31496062992125984" footer="0.31496062992125984"/>
  <pageSetup paperSize="5" scale="41" fitToHeight="0" orientation="portrait" r:id="rId1"/>
  <headerFooter>
    <oddFooter>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3:I152"/>
  <sheetViews>
    <sheetView topLeftCell="A143" zoomScale="120" zoomScaleNormal="120" workbookViewId="0">
      <selection sqref="A1:F167"/>
    </sheetView>
  </sheetViews>
  <sheetFormatPr baseColWidth="10" defaultRowHeight="15" x14ac:dyDescent="0.25"/>
  <cols>
    <col min="1" max="2" width="7" bestFit="1" customWidth="1"/>
    <col min="3" max="3" width="5.5703125" bestFit="1" customWidth="1"/>
    <col min="4" max="4" width="92.28515625" bestFit="1" customWidth="1"/>
    <col min="5" max="5" width="4" customWidth="1"/>
    <col min="6" max="6" width="21.28515625" style="136" customWidth="1"/>
    <col min="7" max="7" width="5.28515625" customWidth="1"/>
    <col min="8" max="8" width="13.42578125" bestFit="1" customWidth="1"/>
    <col min="9" max="9" width="11.42578125" customWidth="1"/>
  </cols>
  <sheetData>
    <row r="3" spans="1:9" x14ac:dyDescent="0.25">
      <c r="C3" s="89"/>
    </row>
    <row r="7" spans="1:9" ht="29.25" customHeight="1" x14ac:dyDescent="0.25">
      <c r="F7" s="314" t="s">
        <v>572</v>
      </c>
    </row>
    <row r="8" spans="1:9" x14ac:dyDescent="0.25">
      <c r="F8" s="137" t="s">
        <v>47</v>
      </c>
    </row>
    <row r="9" spans="1:9" ht="18.75" x14ac:dyDescent="0.3">
      <c r="A9" s="91"/>
      <c r="B9" s="171"/>
      <c r="C9" s="171"/>
      <c r="D9" s="172" t="s">
        <v>48</v>
      </c>
      <c r="E9" s="173" t="s">
        <v>49</v>
      </c>
      <c r="F9" s="174">
        <f>F10+F36+F68+F109+F112+F137+F146+F149+F150</f>
        <v>29595902.130609736</v>
      </c>
      <c r="G9" s="204"/>
      <c r="H9" s="89">
        <v>29595902.130609736</v>
      </c>
      <c r="I9" s="89"/>
    </row>
    <row r="10" spans="1:9" ht="18.75" x14ac:dyDescent="0.3">
      <c r="A10" s="144">
        <v>1000</v>
      </c>
      <c r="B10" s="175"/>
      <c r="C10" s="175"/>
      <c r="D10" s="176" t="s">
        <v>50</v>
      </c>
      <c r="E10" s="177"/>
      <c r="F10" s="139">
        <f>F11+F13+F17+F21+F25+F30+F34+F32</f>
        <v>8220650.6720482884</v>
      </c>
      <c r="G10" s="205"/>
      <c r="H10" s="89"/>
    </row>
    <row r="11" spans="1:9" ht="15.75" x14ac:dyDescent="0.25">
      <c r="A11" s="92"/>
      <c r="B11" s="178">
        <v>1100</v>
      </c>
      <c r="C11" s="179"/>
      <c r="D11" s="180" t="s">
        <v>51</v>
      </c>
      <c r="E11" s="177"/>
      <c r="F11" s="181">
        <f>SUM(F12:F12)</f>
        <v>5236195.364241655</v>
      </c>
      <c r="G11" s="87"/>
      <c r="H11" s="89"/>
    </row>
    <row r="12" spans="1:9" x14ac:dyDescent="0.25">
      <c r="A12" s="93"/>
      <c r="B12" s="171"/>
      <c r="C12" s="171">
        <v>1131</v>
      </c>
      <c r="D12" s="182" t="s">
        <v>52</v>
      </c>
      <c r="E12" s="177"/>
      <c r="F12" s="138">
        <f>'PRES EGRESO PROG 2025'!W11+'PRES EGRESO PROG 2025'!W57+'PRES EGRESO PROG 2025'!W119</f>
        <v>5236195.364241655</v>
      </c>
    </row>
    <row r="13" spans="1:9" ht="15.75" x14ac:dyDescent="0.25">
      <c r="A13" s="92"/>
      <c r="B13" s="178">
        <v>1200</v>
      </c>
      <c r="C13" s="179"/>
      <c r="D13" s="180" t="s">
        <v>53</v>
      </c>
      <c r="E13" s="183"/>
      <c r="F13" s="139">
        <f>SUM(F15:F16)</f>
        <v>70000</v>
      </c>
      <c r="G13" s="87"/>
    </row>
    <row r="14" spans="1:9" ht="15.75" x14ac:dyDescent="0.25">
      <c r="A14" s="92"/>
      <c r="B14" s="97"/>
      <c r="C14" s="171">
        <v>1212</v>
      </c>
      <c r="D14" s="184" t="s">
        <v>430</v>
      </c>
      <c r="E14" s="183"/>
      <c r="F14" s="136">
        <v>0</v>
      </c>
      <c r="G14" s="87"/>
    </row>
    <row r="15" spans="1:9" x14ac:dyDescent="0.25">
      <c r="A15" s="93"/>
      <c r="B15" s="171"/>
      <c r="C15" s="171">
        <v>1221</v>
      </c>
      <c r="D15" s="182" t="s">
        <v>54</v>
      </c>
      <c r="E15" s="177"/>
      <c r="F15" s="138">
        <f>'PRES EGRESO PROG 2025'!W12+'PRES EGRESO PROG 2025'!W58</f>
        <v>70000</v>
      </c>
    </row>
    <row r="16" spans="1:9" x14ac:dyDescent="0.25">
      <c r="A16" s="93"/>
      <c r="B16" s="171"/>
      <c r="C16" s="171">
        <v>1231</v>
      </c>
      <c r="D16" s="182" t="s">
        <v>55</v>
      </c>
      <c r="E16" s="177"/>
      <c r="F16" s="138">
        <v>0</v>
      </c>
    </row>
    <row r="17" spans="1:7" ht="15.75" x14ac:dyDescent="0.25">
      <c r="A17" s="92"/>
      <c r="B17" s="178">
        <v>1300</v>
      </c>
      <c r="C17" s="179"/>
      <c r="D17" s="180" t="s">
        <v>56</v>
      </c>
      <c r="E17" s="177"/>
      <c r="F17" s="139">
        <f>SUM(F18:F20)</f>
        <v>852033.89138246828</v>
      </c>
      <c r="G17" s="87"/>
    </row>
    <row r="18" spans="1:7" x14ac:dyDescent="0.25">
      <c r="A18" s="93"/>
      <c r="B18" s="171"/>
      <c r="C18" s="171">
        <v>1321</v>
      </c>
      <c r="D18" s="182" t="s">
        <v>57</v>
      </c>
      <c r="E18" s="177"/>
      <c r="F18" s="138">
        <f>'PRES EGRESO PROG 2025'!W13+'PRES EGRESO PROG 2025'!W59+'PRES EGRESO PROG 2025'!W120</f>
        <v>86121.634280290382</v>
      </c>
    </row>
    <row r="19" spans="1:7" x14ac:dyDescent="0.25">
      <c r="A19" s="93"/>
      <c r="B19" s="171"/>
      <c r="C19" s="171">
        <v>1323</v>
      </c>
      <c r="D19" s="182" t="s">
        <v>58</v>
      </c>
      <c r="E19" s="177"/>
      <c r="F19" s="138">
        <f>'PRES EGRESO PROG 2025'!W14+'PRES EGRESO PROG 2025'!W51+'PRES EGRESO PROG 2025'!W60+'PRES EGRESO PROG 2025'!W121</f>
        <v>765912.25710217794</v>
      </c>
    </row>
    <row r="20" spans="1:7" x14ac:dyDescent="0.25">
      <c r="A20" s="93"/>
      <c r="B20" s="171"/>
      <c r="C20" s="171">
        <v>1331</v>
      </c>
      <c r="D20" s="182" t="s">
        <v>439</v>
      </c>
      <c r="E20" s="177"/>
      <c r="F20" s="138">
        <v>0</v>
      </c>
    </row>
    <row r="21" spans="1:7" ht="15.75" x14ac:dyDescent="0.25">
      <c r="A21" s="92"/>
      <c r="B21" s="178">
        <v>1400</v>
      </c>
      <c r="C21" s="179"/>
      <c r="D21" s="180" t="s">
        <v>59</v>
      </c>
      <c r="E21" s="177"/>
      <c r="F21" s="139">
        <f>SUM(F22:F24)</f>
        <v>1305911.72</v>
      </c>
      <c r="G21" s="87"/>
    </row>
    <row r="22" spans="1:7" x14ac:dyDescent="0.25">
      <c r="A22" s="93"/>
      <c r="B22" s="171"/>
      <c r="C22" s="171">
        <v>1413</v>
      </c>
      <c r="D22" s="182" t="s">
        <v>60</v>
      </c>
      <c r="E22" s="177"/>
      <c r="F22" s="138">
        <f>'PRES EGRESO PROG 2025'!W15+'PRES EGRESO PROG 2025'!W61+'PRES EGRESO PROG 2025'!W122</f>
        <v>562440</v>
      </c>
    </row>
    <row r="23" spans="1:7" x14ac:dyDescent="0.25">
      <c r="A23" s="93"/>
      <c r="B23" s="171"/>
      <c r="C23" s="171">
        <v>1421</v>
      </c>
      <c r="D23" s="182" t="s">
        <v>61</v>
      </c>
      <c r="E23" s="177"/>
      <c r="F23" s="138">
        <f>'PRES EGRESO PROG 2025'!W16+'PRES EGRESO PROG 2025'!W62+'PRES EGRESO PROG 2025'!W123</f>
        <v>281970</v>
      </c>
    </row>
    <row r="24" spans="1:7" x14ac:dyDescent="0.25">
      <c r="A24" s="93"/>
      <c r="B24" s="171"/>
      <c r="C24" s="171">
        <v>1431</v>
      </c>
      <c r="D24" s="182" t="s">
        <v>62</v>
      </c>
      <c r="E24" s="177"/>
      <c r="F24" s="138">
        <f>+'PRES EGRESO PROG 2025'!W17+'PRES EGRESO PROG 2025'!W63+'PRES EGRESO PROG 2025'!W124</f>
        <v>461501.72</v>
      </c>
    </row>
    <row r="25" spans="1:7" ht="15.75" x14ac:dyDescent="0.25">
      <c r="A25" s="92"/>
      <c r="B25" s="178">
        <v>1500</v>
      </c>
      <c r="C25" s="179"/>
      <c r="D25" s="180" t="s">
        <v>63</v>
      </c>
      <c r="E25" s="177"/>
      <c r="F25" s="139">
        <f>SUM(F26:F29)</f>
        <v>756509.69642416551</v>
      </c>
      <c r="G25" s="87"/>
    </row>
    <row r="26" spans="1:7" x14ac:dyDescent="0.25">
      <c r="A26" s="93"/>
      <c r="B26" s="171"/>
      <c r="C26" s="171">
        <v>1521</v>
      </c>
      <c r="D26" s="182" t="s">
        <v>437</v>
      </c>
      <c r="E26" s="177"/>
      <c r="F26" s="138">
        <f>+'PRES EGRESO PROG 2025'!W64+'PRES EGRESO PROG 2025'!W125</f>
        <v>151000</v>
      </c>
    </row>
    <row r="27" spans="1:7" x14ac:dyDescent="0.25">
      <c r="A27" s="93"/>
      <c r="B27" s="171"/>
      <c r="C27" s="171">
        <v>1522</v>
      </c>
      <c r="D27" s="182" t="s">
        <v>441</v>
      </c>
      <c r="E27" s="177"/>
      <c r="F27" s="138">
        <v>0</v>
      </c>
    </row>
    <row r="28" spans="1:7" x14ac:dyDescent="0.25">
      <c r="A28" s="93"/>
      <c r="B28" s="171"/>
      <c r="C28" s="171">
        <v>1541</v>
      </c>
      <c r="D28" s="182" t="s">
        <v>64</v>
      </c>
      <c r="E28" s="177"/>
      <c r="F28" s="138">
        <f>+'PRES EGRESO PROG 2025'!W18+'PRES EGRESO PROG 2025'!W65+'PRES EGRESO PROG 2025'!W126</f>
        <v>81890.16</v>
      </c>
    </row>
    <row r="29" spans="1:7" x14ac:dyDescent="0.25">
      <c r="A29" s="93"/>
      <c r="B29" s="171"/>
      <c r="C29" s="171">
        <v>1592</v>
      </c>
      <c r="D29" s="182" t="s">
        <v>507</v>
      </c>
      <c r="E29" s="177"/>
      <c r="F29" s="138">
        <f>+'PRES EGRESO PROG 2025'!W19+'PRES EGRESO PROG 2025'!W66+'PRES EGRESO PROG 2025'!W127</f>
        <v>523619.53642416553</v>
      </c>
    </row>
    <row r="30" spans="1:7" ht="15.75" x14ac:dyDescent="0.25">
      <c r="A30" s="92"/>
      <c r="B30" s="178">
        <v>1600</v>
      </c>
      <c r="C30" s="179"/>
      <c r="D30" s="180" t="s">
        <v>65</v>
      </c>
      <c r="E30" s="177"/>
      <c r="F30" s="139">
        <f>SUM(F31:F31)</f>
        <v>0</v>
      </c>
      <c r="G30" s="87"/>
    </row>
    <row r="31" spans="1:7" x14ac:dyDescent="0.25">
      <c r="A31" s="93"/>
      <c r="B31" s="171"/>
      <c r="C31" s="171">
        <v>1611</v>
      </c>
      <c r="D31" s="182" t="s">
        <v>66</v>
      </c>
      <c r="E31" s="177"/>
      <c r="F31" s="138">
        <v>0</v>
      </c>
    </row>
    <row r="32" spans="1:7" x14ac:dyDescent="0.25">
      <c r="A32" s="93"/>
      <c r="B32" s="178">
        <v>1700</v>
      </c>
      <c r="C32" s="178"/>
      <c r="D32" s="180" t="s">
        <v>453</v>
      </c>
      <c r="E32" s="177"/>
      <c r="F32" s="139">
        <f>SUM(F33:F33)</f>
        <v>0</v>
      </c>
    </row>
    <row r="33" spans="1:9" x14ac:dyDescent="0.25">
      <c r="A33" s="93"/>
      <c r="B33" s="171"/>
      <c r="C33" s="171">
        <v>1713</v>
      </c>
      <c r="D33" s="185" t="s">
        <v>525</v>
      </c>
      <c r="E33" s="177"/>
      <c r="F33" s="138">
        <v>0</v>
      </c>
    </row>
    <row r="34" spans="1:9" x14ac:dyDescent="0.25">
      <c r="A34" s="93"/>
      <c r="B34" s="178">
        <v>1800</v>
      </c>
      <c r="C34" s="179"/>
      <c r="D34" s="180" t="s">
        <v>335</v>
      </c>
      <c r="E34" s="177"/>
      <c r="F34" s="139">
        <f>F35</f>
        <v>0</v>
      </c>
    </row>
    <row r="35" spans="1:9" x14ac:dyDescent="0.25">
      <c r="A35" s="93"/>
      <c r="B35" s="97"/>
      <c r="C35" s="171">
        <v>1811</v>
      </c>
      <c r="D35" s="182" t="s">
        <v>336</v>
      </c>
      <c r="E35" s="177"/>
      <c r="F35" s="138">
        <v>0</v>
      </c>
    </row>
    <row r="36" spans="1:9" ht="18.75" x14ac:dyDescent="0.3">
      <c r="A36" s="144">
        <v>2000</v>
      </c>
      <c r="B36" s="175"/>
      <c r="C36" s="175"/>
      <c r="D36" s="176" t="s">
        <v>67</v>
      </c>
      <c r="E36" s="177"/>
      <c r="F36" s="139">
        <f>F37+F43+F45+F53+F56+F59+F62</f>
        <v>3739551.2</v>
      </c>
      <c r="G36" s="206"/>
      <c r="I36" s="89"/>
    </row>
    <row r="37" spans="1:9" ht="15.75" x14ac:dyDescent="0.25">
      <c r="A37" s="92"/>
      <c r="B37" s="178">
        <v>2100</v>
      </c>
      <c r="C37" s="179"/>
      <c r="D37" s="180" t="s">
        <v>68</v>
      </c>
      <c r="E37" s="177"/>
      <c r="F37" s="139">
        <f>SUM(F38:F42)</f>
        <v>398010</v>
      </c>
      <c r="G37" s="87"/>
    </row>
    <row r="38" spans="1:9" x14ac:dyDescent="0.25">
      <c r="A38" s="93"/>
      <c r="B38" s="171"/>
      <c r="C38" s="171">
        <v>2111</v>
      </c>
      <c r="D38" s="182" t="s">
        <v>69</v>
      </c>
      <c r="E38" s="177"/>
      <c r="F38" s="138">
        <f>+'PRES EGRESO PROG 2025'!W67+'PRES EGRESO PROG 2025'!W98</f>
        <v>115000</v>
      </c>
    </row>
    <row r="39" spans="1:9" x14ac:dyDescent="0.25">
      <c r="A39" s="93"/>
      <c r="B39" s="171"/>
      <c r="C39" s="171">
        <v>2141</v>
      </c>
      <c r="D39" s="182" t="s">
        <v>70</v>
      </c>
      <c r="E39" s="177"/>
      <c r="F39" s="138">
        <f>+'PRES EGRESO PROG 2025'!W20+'PRES EGRESO PROG 2025'!W68</f>
        <v>100010</v>
      </c>
    </row>
    <row r="40" spans="1:9" x14ac:dyDescent="0.25">
      <c r="A40" s="93"/>
      <c r="B40" s="171"/>
      <c r="C40" s="171">
        <v>2151</v>
      </c>
      <c r="D40" s="182" t="s">
        <v>71</v>
      </c>
      <c r="E40" s="177"/>
      <c r="F40" s="138">
        <f>+'PRES EGRESO PROG 2025'!W69+'PRES EGRESO PROG 2025'!W99</f>
        <v>145000</v>
      </c>
    </row>
    <row r="41" spans="1:9" x14ac:dyDescent="0.25">
      <c r="A41" s="93"/>
      <c r="B41" s="171"/>
      <c r="C41" s="171">
        <v>2161</v>
      </c>
      <c r="D41" s="182" t="s">
        <v>72</v>
      </c>
      <c r="E41" s="177"/>
      <c r="F41" s="138">
        <f>+'PRES EGRESO PROG 2025'!W21+'PRES EGRESO PROG 2025'!W70</f>
        <v>34000</v>
      </c>
    </row>
    <row r="42" spans="1:9" x14ac:dyDescent="0.25">
      <c r="A42" s="93"/>
      <c r="B42" s="171"/>
      <c r="C42" s="171">
        <v>2171</v>
      </c>
      <c r="D42" s="182" t="s">
        <v>73</v>
      </c>
      <c r="E42" s="177"/>
      <c r="F42" s="138">
        <f>+'PRES EGRESO PROG 2025'!W100</f>
        <v>4000</v>
      </c>
    </row>
    <row r="43" spans="1:9" ht="15.75" x14ac:dyDescent="0.25">
      <c r="A43" s="92"/>
      <c r="B43" s="178">
        <v>2200</v>
      </c>
      <c r="C43" s="178"/>
      <c r="D43" s="180" t="s">
        <v>74</v>
      </c>
      <c r="E43" s="177"/>
      <c r="F43" s="139">
        <f>F44</f>
        <v>57291.199999999997</v>
      </c>
      <c r="G43" s="87"/>
    </row>
    <row r="44" spans="1:9" x14ac:dyDescent="0.25">
      <c r="A44" s="93"/>
      <c r="B44" s="171"/>
      <c r="C44" s="171">
        <v>2211</v>
      </c>
      <c r="D44" s="182" t="s">
        <v>75</v>
      </c>
      <c r="E44" s="177"/>
      <c r="F44" s="138">
        <f>+'PRES EGRESO PROG 2025'!W22+'PRES EGRESO PROG 2025'!W71+'PRES EGRESO PROG 2025'!W128</f>
        <v>57291.199999999997</v>
      </c>
    </row>
    <row r="45" spans="1:9" ht="15.75" x14ac:dyDescent="0.25">
      <c r="A45" s="92"/>
      <c r="B45" s="178">
        <v>2400</v>
      </c>
      <c r="C45" s="178"/>
      <c r="D45" s="180" t="s">
        <v>76</v>
      </c>
      <c r="E45" s="177"/>
      <c r="F45" s="139">
        <f>SUM(F46:F52)</f>
        <v>1790000</v>
      </c>
      <c r="G45" s="87"/>
    </row>
    <row r="46" spans="1:9" x14ac:dyDescent="0.25">
      <c r="A46" s="93"/>
      <c r="B46" s="171"/>
      <c r="C46" s="171">
        <v>2411</v>
      </c>
      <c r="D46" s="182" t="s">
        <v>77</v>
      </c>
      <c r="E46" s="177"/>
      <c r="F46" s="138">
        <f>+'PRES EGRESO PROG 2025'!W23+'PRES EGRESO PROG 2025'!W159+'PRES EGRESO PROG 2025'!W169</f>
        <v>330000</v>
      </c>
    </row>
    <row r="47" spans="1:9" x14ac:dyDescent="0.25">
      <c r="A47" s="93"/>
      <c r="B47" s="171"/>
      <c r="C47" s="171">
        <v>2421</v>
      </c>
      <c r="D47" s="182" t="s">
        <v>531</v>
      </c>
      <c r="E47" s="177"/>
      <c r="F47" s="138">
        <f>+'PRES EGRESO PROG 2025'!W24+'PRES EGRESO PROG 2025'!W160+'PRES EGRESO PROG 2025'!W170</f>
        <v>140000</v>
      </c>
    </row>
    <row r="48" spans="1:9" x14ac:dyDescent="0.25">
      <c r="A48" s="93"/>
      <c r="B48" s="171"/>
      <c r="C48" s="171">
        <v>2461</v>
      </c>
      <c r="D48" s="182" t="s">
        <v>78</v>
      </c>
      <c r="E48" s="177"/>
      <c r="F48" s="138">
        <f>+'PRES EGRESO PROG 2025'!W145</f>
        <v>75000</v>
      </c>
    </row>
    <row r="49" spans="1:8" x14ac:dyDescent="0.25">
      <c r="A49" s="93"/>
      <c r="B49" s="171"/>
      <c r="C49" s="171">
        <v>2491</v>
      </c>
      <c r="D49" s="182" t="s">
        <v>79</v>
      </c>
      <c r="E49" s="177"/>
      <c r="F49" s="138">
        <f>+'PRES EGRESO PROG 2025'!W25+'PRES EGRESO PROG 2025'!W161</f>
        <v>165000</v>
      </c>
    </row>
    <row r="50" spans="1:8" x14ac:dyDescent="0.25">
      <c r="A50" s="93"/>
      <c r="B50" s="171"/>
      <c r="C50" s="171">
        <v>2492</v>
      </c>
      <c r="D50" s="201" t="s">
        <v>80</v>
      </c>
      <c r="E50" s="177"/>
      <c r="F50" s="138">
        <f>+'PRES EGRESO PROG 2025'!W162+'PRES EGRESO PROG 2025'!W171</f>
        <v>510000</v>
      </c>
    </row>
    <row r="51" spans="1:8" x14ac:dyDescent="0.25">
      <c r="A51" s="93"/>
      <c r="B51" s="171"/>
      <c r="C51" s="171">
        <v>2493</v>
      </c>
      <c r="D51" s="201" t="s">
        <v>81</v>
      </c>
      <c r="E51" s="177"/>
      <c r="F51" s="138">
        <f>+'PRES EGRESO PROG 2025'!W26</f>
        <v>280000</v>
      </c>
    </row>
    <row r="52" spans="1:8" x14ac:dyDescent="0.25">
      <c r="A52" s="93"/>
      <c r="B52" s="171"/>
      <c r="C52" s="171">
        <v>2495</v>
      </c>
      <c r="D52" s="202" t="s">
        <v>311</v>
      </c>
      <c r="E52" s="177"/>
      <c r="F52" s="138">
        <f>'PRES EGRESO PROG 2025'!W163</f>
        <v>290000</v>
      </c>
    </row>
    <row r="53" spans="1:8" ht="15.75" x14ac:dyDescent="0.25">
      <c r="A53" s="95"/>
      <c r="B53" s="178">
        <v>2500</v>
      </c>
      <c r="C53" s="178"/>
      <c r="D53" s="180" t="s">
        <v>82</v>
      </c>
      <c r="E53" s="177"/>
      <c r="F53" s="139">
        <f>SUM(F54:F55)</f>
        <v>323740</v>
      </c>
      <c r="G53" s="87"/>
    </row>
    <row r="54" spans="1:8" x14ac:dyDescent="0.25">
      <c r="A54" s="93"/>
      <c r="B54" s="171"/>
      <c r="C54" s="171">
        <v>2531</v>
      </c>
      <c r="D54" s="182" t="s">
        <v>83</v>
      </c>
      <c r="E54" s="177"/>
      <c r="F54" s="138">
        <f>+'PRES EGRESO PROG 2025'!W27+'PRES EGRESO PROG 2025'!W72</f>
        <v>3500</v>
      </c>
    </row>
    <row r="55" spans="1:8" x14ac:dyDescent="0.25">
      <c r="A55" s="93"/>
      <c r="B55" s="171"/>
      <c r="C55" s="171">
        <v>2591</v>
      </c>
      <c r="D55" s="203" t="s">
        <v>84</v>
      </c>
      <c r="E55" s="177"/>
      <c r="F55" s="138">
        <f>+'PRES EGRESO PROG 2025'!W28+'PRES EGRESO PROG 2025'!W146</f>
        <v>320240</v>
      </c>
    </row>
    <row r="56" spans="1:8" ht="15.75" x14ac:dyDescent="0.25">
      <c r="A56" s="92"/>
      <c r="B56" s="178">
        <v>2600</v>
      </c>
      <c r="C56" s="178"/>
      <c r="D56" s="180" t="s">
        <v>85</v>
      </c>
      <c r="E56" s="177"/>
      <c r="F56" s="139">
        <f>SUM(F57:F58)</f>
        <v>437500</v>
      </c>
      <c r="G56" s="87"/>
    </row>
    <row r="57" spans="1:8" x14ac:dyDescent="0.25">
      <c r="A57" s="93"/>
      <c r="B57" s="171"/>
      <c r="C57" s="171">
        <v>2611</v>
      </c>
      <c r="D57" s="182" t="s">
        <v>337</v>
      </c>
      <c r="E57" s="177"/>
      <c r="F57" s="138">
        <f>+'PRES EGRESO PROG 2025'!W29+'PRES EGRESO PROG 2025'!W73+'PRES EGRESO PROG 2025'!W129</f>
        <v>377500</v>
      </c>
    </row>
    <row r="58" spans="1:8" x14ac:dyDescent="0.25">
      <c r="A58" s="93"/>
      <c r="B58" s="171"/>
      <c r="C58" s="171">
        <v>2612</v>
      </c>
      <c r="D58" s="182" t="s">
        <v>440</v>
      </c>
      <c r="E58" s="177"/>
      <c r="F58" s="138">
        <f>+'PRES EGRESO PROG 2025'!W30+'PRES EGRESO PROG 2025'!W130</f>
        <v>60000</v>
      </c>
    </row>
    <row r="59" spans="1:8" ht="15.75" x14ac:dyDescent="0.25">
      <c r="A59" s="92"/>
      <c r="B59" s="178">
        <v>2700</v>
      </c>
      <c r="C59" s="178"/>
      <c r="D59" s="180" t="s">
        <v>86</v>
      </c>
      <c r="E59" s="177"/>
      <c r="F59" s="139">
        <f>SUM(F60:F61)</f>
        <v>80010</v>
      </c>
      <c r="G59" s="87"/>
    </row>
    <row r="60" spans="1:8" x14ac:dyDescent="0.25">
      <c r="A60" s="93"/>
      <c r="B60" s="171"/>
      <c r="C60" s="171">
        <v>2711</v>
      </c>
      <c r="D60" s="182" t="s">
        <v>87</v>
      </c>
      <c r="E60" s="177"/>
      <c r="F60" s="138">
        <f>+'PRES EGRESO PROG 2025'!W31+'PRES EGRESO PROG 2025'!W74</f>
        <v>80010</v>
      </c>
    </row>
    <row r="61" spans="1:8" x14ac:dyDescent="0.25">
      <c r="A61" s="93"/>
      <c r="B61" s="171"/>
      <c r="C61" s="171">
        <v>2721</v>
      </c>
      <c r="D61" s="182" t="s">
        <v>88</v>
      </c>
      <c r="E61" s="177"/>
      <c r="F61" s="138">
        <v>0</v>
      </c>
    </row>
    <row r="62" spans="1:8" ht="15.75" x14ac:dyDescent="0.25">
      <c r="A62" s="92"/>
      <c r="B62" s="178">
        <v>2900</v>
      </c>
      <c r="C62" s="178"/>
      <c r="D62" s="180" t="s">
        <v>89</v>
      </c>
      <c r="E62" s="177"/>
      <c r="F62" s="139">
        <f>SUM(F63:F67)</f>
        <v>653000</v>
      </c>
      <c r="G62" s="87"/>
      <c r="H62" s="100"/>
    </row>
    <row r="63" spans="1:8" x14ac:dyDescent="0.25">
      <c r="A63" s="93"/>
      <c r="B63" s="171"/>
      <c r="C63" s="171">
        <v>2911</v>
      </c>
      <c r="D63" s="182" t="s">
        <v>90</v>
      </c>
      <c r="E63" s="177"/>
      <c r="F63" s="138">
        <f>+'PRES EGRESO PROG 2025'!W32+'PRES EGRESO PROG 2025'!W131</f>
        <v>52000</v>
      </c>
    </row>
    <row r="64" spans="1:8" x14ac:dyDescent="0.25">
      <c r="A64" s="93"/>
      <c r="B64" s="171"/>
      <c r="C64" s="171">
        <v>2921</v>
      </c>
      <c r="D64" s="182" t="s">
        <v>91</v>
      </c>
      <c r="E64" s="177"/>
      <c r="F64" s="138">
        <v>0</v>
      </c>
    </row>
    <row r="65" spans="1:7" ht="30" x14ac:dyDescent="0.25">
      <c r="A65" s="93"/>
      <c r="B65" s="171"/>
      <c r="C65" s="171">
        <v>2931</v>
      </c>
      <c r="D65" s="186" t="s">
        <v>92</v>
      </c>
      <c r="E65" s="177"/>
      <c r="F65" s="138">
        <f>+'PRES EGRESO PROG 2025'!W75</f>
        <v>27000</v>
      </c>
    </row>
    <row r="66" spans="1:7" ht="30" x14ac:dyDescent="0.25">
      <c r="A66" s="93"/>
      <c r="B66" s="171"/>
      <c r="C66" s="171">
        <v>2941</v>
      </c>
      <c r="D66" s="186" t="s">
        <v>93</v>
      </c>
      <c r="E66" s="177"/>
      <c r="F66" s="138">
        <f>+'PRES EGRESO PROG 2025'!W76</f>
        <v>18000</v>
      </c>
    </row>
    <row r="67" spans="1:7" x14ac:dyDescent="0.25">
      <c r="A67" s="93"/>
      <c r="B67" s="171"/>
      <c r="C67" s="171">
        <v>2961</v>
      </c>
      <c r="D67" s="203" t="s">
        <v>409</v>
      </c>
      <c r="E67" s="177"/>
      <c r="F67" s="138">
        <f>+'PRES EGRESO PROG 2025'!W33+'PRES EGRESO PROG 2025'!W77+'PRES EGRESO PROG 2025'!W132</f>
        <v>556000</v>
      </c>
    </row>
    <row r="68" spans="1:7" ht="18.75" x14ac:dyDescent="0.3">
      <c r="A68" s="144">
        <v>3000</v>
      </c>
      <c r="B68" s="187"/>
      <c r="C68" s="187"/>
      <c r="D68" s="176" t="s">
        <v>94</v>
      </c>
      <c r="E68" s="188"/>
      <c r="F68" s="139">
        <f>F69+F75+F78+F84+F88+F94+F97+F99+F102</f>
        <v>10438670.258561449</v>
      </c>
      <c r="G68" s="207"/>
    </row>
    <row r="69" spans="1:7" ht="15.75" x14ac:dyDescent="0.25">
      <c r="A69" s="92"/>
      <c r="B69" s="178">
        <v>3100</v>
      </c>
      <c r="C69" s="178"/>
      <c r="D69" s="180" t="s">
        <v>95</v>
      </c>
      <c r="E69" s="177"/>
      <c r="F69" s="139">
        <f>SUM(F70:F74)</f>
        <v>5277440</v>
      </c>
      <c r="G69" s="87"/>
    </row>
    <row r="70" spans="1:7" x14ac:dyDescent="0.25">
      <c r="A70" s="93"/>
      <c r="B70" s="171"/>
      <c r="C70" s="171">
        <v>3111</v>
      </c>
      <c r="D70" s="182" t="s">
        <v>96</v>
      </c>
      <c r="E70" s="177"/>
      <c r="F70" s="138">
        <f>+'PRES EGRESO PROG 2025'!W34+'PRES EGRESO PROG 2025'!W78+'PRES EGRESO PROG 2025'!W147</f>
        <v>5237130</v>
      </c>
    </row>
    <row r="71" spans="1:7" x14ac:dyDescent="0.25">
      <c r="A71" s="93"/>
      <c r="B71" s="171"/>
      <c r="C71" s="171">
        <v>3141</v>
      </c>
      <c r="D71" s="182" t="s">
        <v>97</v>
      </c>
      <c r="E71" s="177"/>
      <c r="F71" s="138">
        <f>+'PRES EGRESO PROG 2025'!W79</f>
        <v>20300</v>
      </c>
    </row>
    <row r="72" spans="1:7" x14ac:dyDescent="0.25">
      <c r="A72" s="93"/>
      <c r="B72" s="171"/>
      <c r="C72" s="171">
        <v>3151</v>
      </c>
      <c r="D72" s="182" t="s">
        <v>313</v>
      </c>
      <c r="E72" s="177"/>
      <c r="F72" s="138">
        <f>+'PRES EGRESO PROG 2025'!W52+'PRES EGRESO PROG 2025'!W80</f>
        <v>20010</v>
      </c>
    </row>
    <row r="73" spans="1:7" x14ac:dyDescent="0.25">
      <c r="A73" s="93"/>
      <c r="B73" s="171"/>
      <c r="C73" s="171">
        <v>3171</v>
      </c>
      <c r="D73" s="182" t="s">
        <v>98</v>
      </c>
      <c r="E73" s="177"/>
      <c r="F73" s="138">
        <v>0</v>
      </c>
    </row>
    <row r="74" spans="1:7" x14ac:dyDescent="0.25">
      <c r="A74" s="93"/>
      <c r="B74" s="171"/>
      <c r="C74" s="171">
        <v>3191</v>
      </c>
      <c r="D74" s="189" t="s">
        <v>448</v>
      </c>
      <c r="E74" s="177"/>
      <c r="F74" s="138">
        <v>0</v>
      </c>
    </row>
    <row r="75" spans="1:7" ht="15.75" x14ac:dyDescent="0.25">
      <c r="A75" s="92"/>
      <c r="B75" s="178">
        <v>3200</v>
      </c>
      <c r="C75" s="178"/>
      <c r="D75" s="180" t="s">
        <v>99</v>
      </c>
      <c r="E75" s="177"/>
      <c r="F75" s="139">
        <f>SUM(F76:F77)</f>
        <v>839893.31</v>
      </c>
      <c r="G75" s="87"/>
    </row>
    <row r="76" spans="1:7" x14ac:dyDescent="0.25">
      <c r="A76" s="93"/>
      <c r="B76" s="171"/>
      <c r="C76" s="171">
        <v>3261</v>
      </c>
      <c r="D76" s="182" t="s">
        <v>100</v>
      </c>
      <c r="E76" s="177"/>
      <c r="F76" s="138">
        <f>+'PRES EGRESO PROG 2025'!W35+'PRES EGRESO PROG 2025'!W164</f>
        <v>607793.31000000006</v>
      </c>
    </row>
    <row r="77" spans="1:7" x14ac:dyDescent="0.25">
      <c r="A77" s="93"/>
      <c r="B77" s="171"/>
      <c r="C77" s="171">
        <f>'PRES EGRESO PROG 2025'!H105</f>
        <v>3271</v>
      </c>
      <c r="D77" s="303" t="str">
        <f>'PRES EGRESO PROG 2025'!I105</f>
        <v>Arrendamiento de activos intangibles</v>
      </c>
      <c r="E77" s="177"/>
      <c r="F77" s="138">
        <f>+'PRES EGRESO PROG 2025'!W105</f>
        <v>232100</v>
      </c>
    </row>
    <row r="78" spans="1:7" ht="15.75" x14ac:dyDescent="0.25">
      <c r="A78" s="92"/>
      <c r="B78" s="178">
        <v>3300</v>
      </c>
      <c r="C78" s="178"/>
      <c r="D78" s="180" t="s">
        <v>101</v>
      </c>
      <c r="E78" s="177"/>
      <c r="F78" s="139">
        <f>SUM(F79:F83)</f>
        <v>971040</v>
      </c>
      <c r="G78" s="87"/>
    </row>
    <row r="79" spans="1:7" x14ac:dyDescent="0.25">
      <c r="A79" s="93"/>
      <c r="B79" s="171"/>
      <c r="C79" s="171">
        <v>3311</v>
      </c>
      <c r="D79" s="182" t="s">
        <v>102</v>
      </c>
      <c r="E79" s="177"/>
      <c r="F79" s="138">
        <f>+'PRES EGRESO PROG 2025'!W81+'PRES EGRESO PROG 2025'!W106</f>
        <v>300010</v>
      </c>
    </row>
    <row r="80" spans="1:7" x14ac:dyDescent="0.25">
      <c r="A80" s="93"/>
      <c r="B80" s="171"/>
      <c r="C80" s="171">
        <v>3321</v>
      </c>
      <c r="D80" s="182" t="s">
        <v>103</v>
      </c>
      <c r="E80" s="177"/>
      <c r="F80" s="138">
        <f>+'PRES EGRESO PROG 2025'!W148+'PRES EGRESO PROG 2025'!W174</f>
        <v>20</v>
      </c>
    </row>
    <row r="81" spans="1:7" ht="30" x14ac:dyDescent="0.25">
      <c r="A81" s="93"/>
      <c r="B81" s="171"/>
      <c r="C81" s="171">
        <v>3331</v>
      </c>
      <c r="D81" s="186" t="s">
        <v>104</v>
      </c>
      <c r="E81" s="177"/>
      <c r="F81" s="138">
        <f>+'PRES EGRESO PROG 2025'!W107</f>
        <v>1000</v>
      </c>
    </row>
    <row r="82" spans="1:7" x14ac:dyDescent="0.25">
      <c r="A82" s="93"/>
      <c r="B82" s="171"/>
      <c r="C82" s="171">
        <v>3341</v>
      </c>
      <c r="D82" s="182" t="s">
        <v>105</v>
      </c>
      <c r="E82" s="177"/>
      <c r="F82" s="138">
        <f>+'PRES EGRESO PROG 2025'!W108</f>
        <v>5000</v>
      </c>
    </row>
    <row r="83" spans="1:7" x14ac:dyDescent="0.25">
      <c r="A83" s="93"/>
      <c r="B83" s="171"/>
      <c r="C83" s="171">
        <v>3391</v>
      </c>
      <c r="D83" s="182" t="s">
        <v>106</v>
      </c>
      <c r="E83" s="177"/>
      <c r="F83" s="138">
        <f>+'PRES EGRESO PROG 2025'!W36+'PRES EGRESO PROG 2025'!W133+'PRES EGRESO PROG 2025'!W149</f>
        <v>665010</v>
      </c>
    </row>
    <row r="84" spans="1:7" ht="15.75" x14ac:dyDescent="0.25">
      <c r="A84" s="92"/>
      <c r="B84" s="178">
        <v>3400</v>
      </c>
      <c r="C84" s="178"/>
      <c r="D84" s="180" t="s">
        <v>107</v>
      </c>
      <c r="E84" s="177"/>
      <c r="F84" s="139">
        <f>SUM(F85:F87)</f>
        <v>248000</v>
      </c>
      <c r="G84" s="87"/>
    </row>
    <row r="85" spans="1:7" x14ac:dyDescent="0.25">
      <c r="A85" s="93"/>
      <c r="B85" s="171"/>
      <c r="C85" s="171">
        <v>3411</v>
      </c>
      <c r="D85" s="182" t="s">
        <v>108</v>
      </c>
      <c r="E85" s="177"/>
      <c r="F85" s="138">
        <f>'PRES EGRESO PROG 2025'!W109</f>
        <v>39000</v>
      </c>
    </row>
    <row r="86" spans="1:7" x14ac:dyDescent="0.25">
      <c r="A86" s="93"/>
      <c r="B86" s="171"/>
      <c r="C86" s="171">
        <v>3451</v>
      </c>
      <c r="D86" s="182" t="s">
        <v>109</v>
      </c>
      <c r="E86" s="177"/>
      <c r="F86" s="138">
        <f>+'PRES EGRESO PROG 2025'!W37+'PRES EGRESO PROG 2025'!W82+'PRES EGRESO PROG 2025'!W134</f>
        <v>205000</v>
      </c>
    </row>
    <row r="87" spans="1:7" x14ac:dyDescent="0.25">
      <c r="A87" s="93"/>
      <c r="B87" s="171"/>
      <c r="C87" s="171">
        <v>3471</v>
      </c>
      <c r="D87" s="182" t="s">
        <v>110</v>
      </c>
      <c r="E87" s="177"/>
      <c r="F87" s="138">
        <f>+'PRES EGRESO PROG 2025'!W83</f>
        <v>4000</v>
      </c>
    </row>
    <row r="88" spans="1:7" ht="15.75" x14ac:dyDescent="0.25">
      <c r="A88" s="92"/>
      <c r="B88" s="178">
        <v>3500</v>
      </c>
      <c r="C88" s="178"/>
      <c r="D88" s="180" t="s">
        <v>111</v>
      </c>
      <c r="E88" s="177"/>
      <c r="F88" s="139">
        <f>SUM(F89:F93)</f>
        <v>1205364.78</v>
      </c>
      <c r="G88" s="87"/>
    </row>
    <row r="89" spans="1:7" x14ac:dyDescent="0.25">
      <c r="A89" s="93"/>
      <c r="B89" s="171"/>
      <c r="C89" s="171">
        <v>3511</v>
      </c>
      <c r="D89" s="182" t="s">
        <v>112</v>
      </c>
      <c r="E89" s="177"/>
      <c r="F89" s="138">
        <f>+'PRES EGRESO PROG 2025'!W38+'PRES EGRESO PROG 2025'!W84+'PRES EGRESO PROG 2025'!W150</f>
        <v>170000</v>
      </c>
    </row>
    <row r="90" spans="1:7" ht="30" x14ac:dyDescent="0.25">
      <c r="A90" s="93"/>
      <c r="B90" s="171"/>
      <c r="C90" s="190">
        <v>3521</v>
      </c>
      <c r="D90" s="184" t="s">
        <v>451</v>
      </c>
      <c r="E90" s="177"/>
      <c r="F90" s="138">
        <f>+'PRES EGRESO PROG 2025'!W85</f>
        <v>10</v>
      </c>
    </row>
    <row r="91" spans="1:7" x14ac:dyDescent="0.25">
      <c r="A91" s="93"/>
      <c r="B91" s="171"/>
      <c r="C91" s="190">
        <v>3531</v>
      </c>
      <c r="D91" s="184" t="s">
        <v>444</v>
      </c>
      <c r="E91" s="177"/>
      <c r="F91" s="138">
        <f>+'PRES EGRESO PROG 2025'!W86</f>
        <v>22000</v>
      </c>
    </row>
    <row r="92" spans="1:7" x14ac:dyDescent="0.25">
      <c r="A92" s="93"/>
      <c r="B92" s="171"/>
      <c r="C92" s="171">
        <v>3551</v>
      </c>
      <c r="D92" s="182" t="s">
        <v>334</v>
      </c>
      <c r="E92" s="177"/>
      <c r="F92" s="138">
        <f>+'PRES EGRESO PROG 2025'!W87+'PRES EGRESO PROG 2025'!W135</f>
        <v>328344.78000000003</v>
      </c>
    </row>
    <row r="93" spans="1:7" x14ac:dyDescent="0.25">
      <c r="A93" s="93"/>
      <c r="B93" s="171"/>
      <c r="C93" s="171">
        <v>3571</v>
      </c>
      <c r="D93" s="182" t="s">
        <v>113</v>
      </c>
      <c r="E93" s="177"/>
      <c r="F93" s="138">
        <f>+'PRES EGRESO PROG 2025'!W39+'PRES EGRESO PROG 2025'!W136+'PRES EGRESO PROG 2025'!W151+'PRES EGRESO PROG 2025'!W175</f>
        <v>685010</v>
      </c>
    </row>
    <row r="94" spans="1:7" ht="15.75" x14ac:dyDescent="0.25">
      <c r="A94" s="92"/>
      <c r="B94" s="178">
        <v>3600</v>
      </c>
      <c r="C94" s="178"/>
      <c r="D94" s="180" t="s">
        <v>114</v>
      </c>
      <c r="E94" s="177"/>
      <c r="F94" s="139">
        <f>F95</f>
        <v>10</v>
      </c>
      <c r="G94" s="87"/>
    </row>
    <row r="95" spans="1:7" ht="30" x14ac:dyDescent="0.25">
      <c r="A95" s="93"/>
      <c r="B95" s="171"/>
      <c r="C95" s="171">
        <v>3611</v>
      </c>
      <c r="D95" s="186" t="s">
        <v>115</v>
      </c>
      <c r="E95" s="177"/>
      <c r="F95" s="138">
        <f>+'PRES EGRESO PROG 2025'!W88</f>
        <v>10</v>
      </c>
    </row>
    <row r="96" spans="1:7" x14ac:dyDescent="0.25">
      <c r="A96" s="93"/>
      <c r="B96" s="171"/>
      <c r="C96" s="171"/>
      <c r="D96" s="182"/>
      <c r="E96" s="177"/>
      <c r="F96" s="138"/>
    </row>
    <row r="97" spans="1:7" ht="15.75" x14ac:dyDescent="0.25">
      <c r="A97" s="92"/>
      <c r="B97" s="178">
        <v>3700</v>
      </c>
      <c r="C97" s="178"/>
      <c r="D97" s="180" t="s">
        <v>116</v>
      </c>
      <c r="E97" s="177"/>
      <c r="F97" s="139">
        <f>F98</f>
        <v>20000</v>
      </c>
      <c r="G97" s="87"/>
    </row>
    <row r="98" spans="1:7" x14ac:dyDescent="0.25">
      <c r="A98" s="93"/>
      <c r="B98" s="171"/>
      <c r="C98" s="171">
        <v>3751</v>
      </c>
      <c r="D98" s="182" t="s">
        <v>117</v>
      </c>
      <c r="E98" s="177"/>
      <c r="F98" s="309">
        <f>+'PRES EGRESO PROG 2025'!W89</f>
        <v>20000</v>
      </c>
    </row>
    <row r="99" spans="1:7" ht="15.75" x14ac:dyDescent="0.25">
      <c r="A99" s="92"/>
      <c r="B99" s="178">
        <v>3800</v>
      </c>
      <c r="C99" s="178"/>
      <c r="D99" s="180" t="s">
        <v>118</v>
      </c>
      <c r="E99" s="177"/>
      <c r="F99" s="139">
        <f>SUM(F100:F101)</f>
        <v>176000</v>
      </c>
      <c r="G99" s="87"/>
    </row>
    <row r="100" spans="1:7" x14ac:dyDescent="0.25">
      <c r="A100" s="93"/>
      <c r="B100" s="171"/>
      <c r="C100">
        <v>3821</v>
      </c>
      <c r="D100" s="184" t="s">
        <v>445</v>
      </c>
      <c r="F100" s="136">
        <f>+'PRES EGRESO PROG 2025'!W90</f>
        <v>160000</v>
      </c>
    </row>
    <row r="101" spans="1:7" x14ac:dyDescent="0.25">
      <c r="A101" s="93"/>
      <c r="B101" s="171"/>
      <c r="C101" s="171">
        <v>3851</v>
      </c>
      <c r="D101" s="182" t="s">
        <v>119</v>
      </c>
      <c r="E101" s="177"/>
      <c r="F101" s="138">
        <f>+'PRES EGRESO PROG 2025'!W53</f>
        <v>16000</v>
      </c>
    </row>
    <row r="102" spans="1:7" ht="15.75" x14ac:dyDescent="0.25">
      <c r="A102" s="92"/>
      <c r="B102" s="178">
        <v>3900</v>
      </c>
      <c r="C102" s="178"/>
      <c r="D102" s="180" t="s">
        <v>120</v>
      </c>
      <c r="E102" s="177"/>
      <c r="F102" s="139">
        <f>SUM(F103:F108)</f>
        <v>1700922.1685614486</v>
      </c>
      <c r="G102" s="87"/>
    </row>
    <row r="103" spans="1:7" x14ac:dyDescent="0.25">
      <c r="A103" s="93"/>
      <c r="B103" s="171"/>
      <c r="C103" s="171">
        <v>3921</v>
      </c>
      <c r="D103" s="182" t="s">
        <v>121</v>
      </c>
      <c r="E103" s="177"/>
      <c r="F103" s="138">
        <f>+'PRES EGRESO PROG 2025'!W40+'PRES EGRESO PROG 2025'!W91+'PRES EGRESO PROG 2025'!W137</f>
        <v>3710</v>
      </c>
    </row>
    <row r="104" spans="1:7" x14ac:dyDescent="0.25">
      <c r="A104" s="93"/>
      <c r="B104" s="171"/>
      <c r="C104" s="171">
        <v>3924</v>
      </c>
      <c r="D104" s="182" t="s">
        <v>122</v>
      </c>
      <c r="E104" s="177"/>
      <c r="F104" s="138">
        <f>+'PRES EGRESO PROG 2025'!W110</f>
        <v>1200000</v>
      </c>
      <c r="G104" s="89"/>
    </row>
    <row r="105" spans="1:7" x14ac:dyDescent="0.25">
      <c r="A105" s="93"/>
      <c r="B105" s="171"/>
      <c r="C105" s="171">
        <v>3925</v>
      </c>
      <c r="D105" s="182" t="s">
        <v>123</v>
      </c>
      <c r="E105" s="143"/>
      <c r="F105" s="138">
        <f>'PRES EGRESO PROG 2025'!W111</f>
        <v>200000</v>
      </c>
    </row>
    <row r="106" spans="1:7" x14ac:dyDescent="0.25">
      <c r="A106" s="93"/>
      <c r="B106" s="171"/>
      <c r="C106" s="171">
        <v>3951</v>
      </c>
      <c r="D106" s="182" t="s">
        <v>124</v>
      </c>
      <c r="E106" s="177"/>
      <c r="F106" s="138">
        <f>'PRES EGRESO PROG 2025'!W112</f>
        <v>8000</v>
      </c>
    </row>
    <row r="107" spans="1:7" x14ac:dyDescent="0.25">
      <c r="A107" s="93"/>
      <c r="B107" s="171"/>
      <c r="C107" s="171">
        <v>3981</v>
      </c>
      <c r="D107" s="182" t="s">
        <v>508</v>
      </c>
      <c r="E107" s="177"/>
      <c r="F107" s="138">
        <f>+'PRES EGRESO PROG 2025'!W113</f>
        <v>197212.16856144863</v>
      </c>
    </row>
    <row r="108" spans="1:7" x14ac:dyDescent="0.25">
      <c r="A108" s="93"/>
      <c r="B108" s="171"/>
      <c r="C108" s="171">
        <v>3991</v>
      </c>
      <c r="D108" s="182" t="s">
        <v>125</v>
      </c>
      <c r="E108" s="177"/>
      <c r="F108" s="138">
        <f>+'PRES EGRESO PROG 2025'!W41+'PRES EGRESO PROG 2025'!W92+'PRES EGRESO PROG 2025'!W138+'PRES EGRESO PROG 2025'!W152+'PRES EGRESO PROG 2025'!W165</f>
        <v>92000</v>
      </c>
    </row>
    <row r="109" spans="1:7" ht="18.75" x14ac:dyDescent="0.3">
      <c r="A109" s="144">
        <v>4000</v>
      </c>
      <c r="B109" s="187"/>
      <c r="C109" s="187"/>
      <c r="D109" s="176" t="s">
        <v>126</v>
      </c>
      <c r="E109" s="177"/>
      <c r="F109" s="139">
        <f>SUM(F110:F110)</f>
        <v>46000</v>
      </c>
    </row>
    <row r="110" spans="1:7" ht="15.75" x14ac:dyDescent="0.25">
      <c r="A110" s="145"/>
      <c r="B110" s="178">
        <v>4400</v>
      </c>
      <c r="C110" s="191"/>
      <c r="D110" s="192" t="s">
        <v>454</v>
      </c>
      <c r="E110" s="193"/>
      <c r="F110" s="194">
        <f>SUM(F111:F111)</f>
        <v>46000</v>
      </c>
      <c r="G110" s="87"/>
    </row>
    <row r="111" spans="1:7" ht="15.75" x14ac:dyDescent="0.25">
      <c r="A111" s="145"/>
      <c r="B111" s="171"/>
      <c r="C111" s="171">
        <v>4411</v>
      </c>
      <c r="D111" s="184" t="s">
        <v>510</v>
      </c>
      <c r="E111" s="177"/>
      <c r="F111" s="138">
        <f>'PRES EGRESO PROG 2025'!W101</f>
        <v>46000</v>
      </c>
    </row>
    <row r="112" spans="1:7" ht="18.75" x14ac:dyDescent="0.3">
      <c r="A112" s="144">
        <v>5000</v>
      </c>
      <c r="B112" s="187"/>
      <c r="C112" s="187"/>
      <c r="D112" s="176" t="s">
        <v>127</v>
      </c>
      <c r="E112" s="195"/>
      <c r="F112" s="139">
        <f>F113+F117+F120+F124+F135+F133</f>
        <v>4580880</v>
      </c>
      <c r="G112" s="208"/>
    </row>
    <row r="113" spans="1:7" ht="15.75" x14ac:dyDescent="0.25">
      <c r="A113" s="92"/>
      <c r="B113" s="178">
        <v>5100</v>
      </c>
      <c r="C113" s="178"/>
      <c r="D113" s="180" t="s">
        <v>128</v>
      </c>
      <c r="E113" s="177"/>
      <c r="F113" s="139">
        <f>SUM(F114:F116)</f>
        <v>425000</v>
      </c>
      <c r="G113" s="87"/>
    </row>
    <row r="114" spans="1:7" x14ac:dyDescent="0.25">
      <c r="A114" s="93"/>
      <c r="B114" s="171"/>
      <c r="C114" s="171">
        <v>5111</v>
      </c>
      <c r="D114" s="182" t="s">
        <v>129</v>
      </c>
      <c r="E114" s="177"/>
      <c r="F114" s="138">
        <f>+'PRES EGRESO PROG 2025'!W93</f>
        <v>30000</v>
      </c>
    </row>
    <row r="115" spans="1:7" x14ac:dyDescent="0.25">
      <c r="A115" s="93"/>
      <c r="B115" s="171"/>
      <c r="C115" s="171">
        <v>5151</v>
      </c>
      <c r="D115" s="182" t="s">
        <v>130</v>
      </c>
      <c r="E115" s="177"/>
      <c r="F115" s="138">
        <f>+'PRES EGRESO PROG 2025'!W114</f>
        <v>393000</v>
      </c>
    </row>
    <row r="116" spans="1:7" x14ac:dyDescent="0.25">
      <c r="A116" s="93"/>
      <c r="B116" s="171"/>
      <c r="C116" s="171">
        <v>5191</v>
      </c>
      <c r="D116" s="189" t="s">
        <v>450</v>
      </c>
      <c r="E116" s="177"/>
      <c r="F116" s="138">
        <f>+'PRES EGRESO PROG 2025'!W153</f>
        <v>2000</v>
      </c>
    </row>
    <row r="117" spans="1:7" ht="15.75" x14ac:dyDescent="0.25">
      <c r="A117" s="92"/>
      <c r="B117" s="178">
        <v>5200</v>
      </c>
      <c r="C117" s="178"/>
      <c r="D117" s="180" t="s">
        <v>131</v>
      </c>
      <c r="E117" s="177"/>
      <c r="F117" s="139">
        <f>SUM(F118:F119)</f>
        <v>0</v>
      </c>
      <c r="G117" s="87"/>
    </row>
    <row r="118" spans="1:7" x14ac:dyDescent="0.25">
      <c r="A118" s="93"/>
      <c r="B118" s="171"/>
      <c r="C118" s="171">
        <v>5231</v>
      </c>
      <c r="D118" s="182" t="s">
        <v>132</v>
      </c>
      <c r="E118" s="177"/>
      <c r="F118" s="138">
        <v>0</v>
      </c>
    </row>
    <row r="119" spans="1:7" x14ac:dyDescent="0.25">
      <c r="A119" s="93"/>
      <c r="B119" s="171"/>
      <c r="C119" s="171">
        <v>5291</v>
      </c>
      <c r="D119" s="196" t="s">
        <v>449</v>
      </c>
      <c r="E119" s="177"/>
      <c r="F119" s="138">
        <v>0</v>
      </c>
    </row>
    <row r="120" spans="1:7" x14ac:dyDescent="0.25">
      <c r="A120" s="93"/>
      <c r="B120" s="178">
        <v>5400</v>
      </c>
      <c r="C120" s="178"/>
      <c r="D120" s="180" t="s">
        <v>452</v>
      </c>
      <c r="E120" s="177"/>
      <c r="F120" s="139">
        <f>SUM(F121:F123)</f>
        <v>980010</v>
      </c>
    </row>
    <row r="121" spans="1:7" x14ac:dyDescent="0.25">
      <c r="A121" s="93"/>
      <c r="B121" s="171"/>
      <c r="C121" s="171">
        <v>5411</v>
      </c>
      <c r="D121" s="184" t="s">
        <v>426</v>
      </c>
      <c r="E121" s="177"/>
      <c r="F121" s="138">
        <f>+'PRES EGRESO PROG 2025'!W139+'PRES EGRESO PROG 2025'!W94</f>
        <v>980010</v>
      </c>
    </row>
    <row r="122" spans="1:7" x14ac:dyDescent="0.25">
      <c r="A122" s="93"/>
      <c r="B122" s="171"/>
      <c r="C122" s="171">
        <v>5421</v>
      </c>
      <c r="D122" s="184" t="s">
        <v>505</v>
      </c>
      <c r="E122" s="177"/>
      <c r="F122" s="138">
        <f>'[1]PRES EGRESO POR PROG 2021'!M49</f>
        <v>0</v>
      </c>
    </row>
    <row r="123" spans="1:7" x14ac:dyDescent="0.25">
      <c r="A123" s="93"/>
      <c r="B123" s="171"/>
      <c r="C123" s="171">
        <v>5491</v>
      </c>
      <c r="D123" s="197" t="s">
        <v>446</v>
      </c>
      <c r="E123" s="177"/>
      <c r="F123" s="138">
        <v>0</v>
      </c>
    </row>
    <row r="124" spans="1:7" ht="15.75" x14ac:dyDescent="0.25">
      <c r="A124" s="92"/>
      <c r="B124" s="178">
        <v>5600</v>
      </c>
      <c r="C124" s="178"/>
      <c r="D124" s="180" t="s">
        <v>133</v>
      </c>
      <c r="E124" s="177"/>
      <c r="F124" s="139">
        <f>SUM(F125:F132)</f>
        <v>3160870</v>
      </c>
      <c r="G124" s="87"/>
    </row>
    <row r="125" spans="1:7" ht="15.75" x14ac:dyDescent="0.25">
      <c r="A125" s="92"/>
      <c r="B125" s="97"/>
      <c r="C125">
        <v>5621</v>
      </c>
      <c r="D125" s="189" t="s">
        <v>418</v>
      </c>
      <c r="E125" s="177"/>
      <c r="F125" s="138">
        <v>0</v>
      </c>
      <c r="G125" s="87"/>
    </row>
    <row r="126" spans="1:7" ht="15.75" x14ac:dyDescent="0.25">
      <c r="A126" s="92"/>
      <c r="B126" s="97"/>
      <c r="C126">
        <v>5631</v>
      </c>
      <c r="D126" s="184" t="s">
        <v>442</v>
      </c>
      <c r="E126" s="177"/>
      <c r="F126" s="138">
        <f>+'PRES EGRESO PROG 2025'!W140</f>
        <v>2169050</v>
      </c>
      <c r="G126" s="87"/>
    </row>
    <row r="127" spans="1:7" ht="15.75" x14ac:dyDescent="0.25">
      <c r="A127" s="92"/>
      <c r="B127" s="97"/>
      <c r="C127" s="171">
        <v>5651</v>
      </c>
      <c r="D127" s="198" t="s">
        <v>410</v>
      </c>
      <c r="E127" s="177"/>
      <c r="F127" s="138">
        <v>0</v>
      </c>
      <c r="G127" s="87"/>
    </row>
    <row r="128" spans="1:7" ht="15.75" x14ac:dyDescent="0.25">
      <c r="A128" s="92"/>
      <c r="B128" s="97"/>
      <c r="C128" s="171">
        <v>5661</v>
      </c>
      <c r="D128" s="189" t="s">
        <v>447</v>
      </c>
      <c r="E128" s="177"/>
      <c r="F128" s="138">
        <f>+'PRES EGRESO PROG 2025'!W154</f>
        <v>92000</v>
      </c>
      <c r="G128" s="87"/>
    </row>
    <row r="129" spans="1:7" x14ac:dyDescent="0.25">
      <c r="A129" s="93"/>
      <c r="B129" s="171"/>
      <c r="C129" s="171">
        <v>5663</v>
      </c>
      <c r="D129" s="182" t="s">
        <v>134</v>
      </c>
      <c r="E129" s="177"/>
      <c r="F129" s="138">
        <f>+'PRES EGRESO PROG 2025'!W155</f>
        <v>200000</v>
      </c>
    </row>
    <row r="130" spans="1:7" x14ac:dyDescent="0.25">
      <c r="A130" s="93"/>
      <c r="B130" s="171"/>
      <c r="C130" s="171">
        <v>5671</v>
      </c>
      <c r="D130" s="184" t="s">
        <v>443</v>
      </c>
      <c r="E130" s="177"/>
      <c r="F130" s="138">
        <f>+'PRES EGRESO PROG 2025'!W141</f>
        <v>179810</v>
      </c>
    </row>
    <row r="131" spans="1:7" x14ac:dyDescent="0.25">
      <c r="A131" s="93"/>
      <c r="B131" s="171"/>
      <c r="C131" s="171">
        <v>5691</v>
      </c>
      <c r="D131" s="182" t="s">
        <v>135</v>
      </c>
      <c r="E131" s="177"/>
      <c r="F131" s="138">
        <f>+'PRES EGRESO PROG 2025'!W42+'PRES EGRESO PROG 2025'!W142+'PRES EGRESO PROG 2025'!W156</f>
        <v>520010</v>
      </c>
    </row>
    <row r="132" spans="1:7" x14ac:dyDescent="0.25">
      <c r="A132" s="93"/>
      <c r="B132" s="171"/>
      <c r="C132" s="171">
        <v>5699</v>
      </c>
      <c r="D132" s="182" t="s">
        <v>136</v>
      </c>
      <c r="E132" s="177"/>
      <c r="F132" s="138">
        <v>0</v>
      </c>
    </row>
    <row r="133" spans="1:7" x14ac:dyDescent="0.25">
      <c r="A133" s="93"/>
      <c r="B133" s="178">
        <v>5800</v>
      </c>
      <c r="C133" s="178"/>
      <c r="D133" s="180" t="s">
        <v>455</v>
      </c>
      <c r="E133" s="177"/>
      <c r="F133" s="139">
        <f>SUM(F134:F134)</f>
        <v>0</v>
      </c>
    </row>
    <row r="134" spans="1:7" x14ac:dyDescent="0.25">
      <c r="A134" s="93"/>
      <c r="B134" s="171"/>
      <c r="C134" s="171">
        <v>5811</v>
      </c>
      <c r="D134" s="184" t="s">
        <v>323</v>
      </c>
      <c r="E134" s="177"/>
      <c r="F134" s="138">
        <v>0</v>
      </c>
    </row>
    <row r="135" spans="1:7" x14ac:dyDescent="0.25">
      <c r="A135" s="93"/>
      <c r="B135" s="178">
        <v>5900</v>
      </c>
      <c r="C135" s="178"/>
      <c r="D135" s="180" t="s">
        <v>324</v>
      </c>
      <c r="E135" s="177"/>
      <c r="F135" s="139">
        <f>SUM(F136:F136)</f>
        <v>15000</v>
      </c>
    </row>
    <row r="136" spans="1:7" x14ac:dyDescent="0.25">
      <c r="A136" s="93"/>
      <c r="B136" s="97"/>
      <c r="C136" s="171">
        <v>5911</v>
      </c>
      <c r="D136" s="182" t="s">
        <v>325</v>
      </c>
      <c r="E136" s="177"/>
      <c r="F136" s="309">
        <f>+'PRES EGRESO PROG 2025'!W115</f>
        <v>15000</v>
      </c>
    </row>
    <row r="137" spans="1:7" ht="18.75" x14ac:dyDescent="0.3">
      <c r="A137" s="144">
        <v>6000</v>
      </c>
      <c r="B137" s="187"/>
      <c r="C137" s="187"/>
      <c r="D137" s="176" t="s">
        <v>137</v>
      </c>
      <c r="E137" s="195"/>
      <c r="F137" s="139">
        <f>F138+F141+F143</f>
        <v>2570150</v>
      </c>
      <c r="G137" s="208"/>
    </row>
    <row r="138" spans="1:7" ht="15.75" x14ac:dyDescent="0.25">
      <c r="A138" s="95"/>
      <c r="B138" s="178">
        <v>6100</v>
      </c>
      <c r="C138" s="178"/>
      <c r="D138" s="192" t="s">
        <v>138</v>
      </c>
      <c r="E138" s="195"/>
      <c r="F138" s="139">
        <f>SUM(F139:F140)</f>
        <v>2570020</v>
      </c>
      <c r="G138" s="209"/>
    </row>
    <row r="139" spans="1:7" x14ac:dyDescent="0.25">
      <c r="A139" s="96"/>
      <c r="B139" s="97"/>
      <c r="C139" s="171">
        <v>6131</v>
      </c>
      <c r="D139" s="199" t="s">
        <v>509</v>
      </c>
      <c r="E139" s="177"/>
      <c r="F139" s="138">
        <v>0</v>
      </c>
      <c r="G139" s="210"/>
    </row>
    <row r="140" spans="1:7" x14ac:dyDescent="0.25">
      <c r="A140" s="96"/>
      <c r="B140" s="97"/>
      <c r="C140" s="171">
        <f>'PRES EGRESO PROG 2025'!H43</f>
        <v>6141</v>
      </c>
      <c r="D140" s="199" t="str">
        <f>'PRES EGRESO PROG 2025'!I43</f>
        <v>Obras, rehabilitaciones de lineas hidraulicas y sanitarias en vialidades</v>
      </c>
      <c r="E140" s="177"/>
      <c r="F140" s="138">
        <f>+'PRES EGRESO PROG 2025'!W43</f>
        <v>2570020</v>
      </c>
      <c r="G140" s="210"/>
    </row>
    <row r="141" spans="1:7" ht="15.75" x14ac:dyDescent="0.25">
      <c r="A141" s="92"/>
      <c r="B141" s="178">
        <v>6200</v>
      </c>
      <c r="C141" s="178"/>
      <c r="D141" s="180" t="s">
        <v>139</v>
      </c>
      <c r="E141" s="177"/>
      <c r="F141" s="139">
        <f>SUM(F142:F142)</f>
        <v>20</v>
      </c>
      <c r="G141" s="87"/>
    </row>
    <row r="142" spans="1:7" x14ac:dyDescent="0.25">
      <c r="A142" s="93"/>
      <c r="B142" s="171"/>
      <c r="C142" s="171">
        <v>6221</v>
      </c>
      <c r="D142" s="203" t="s">
        <v>140</v>
      </c>
      <c r="E142" s="177"/>
      <c r="F142" s="138">
        <f>+'PRES EGRESO PROG 2025'!W44+'PRES EGRESO PROG 2025'!W95</f>
        <v>20</v>
      </c>
    </row>
    <row r="143" spans="1:7" x14ac:dyDescent="0.25">
      <c r="A143" s="93"/>
      <c r="B143" s="178">
        <v>6300</v>
      </c>
      <c r="C143" s="178"/>
      <c r="D143" s="200" t="s">
        <v>458</v>
      </c>
      <c r="E143" s="195"/>
      <c r="F143" s="139">
        <f>SUM(F144:F145)</f>
        <v>110</v>
      </c>
    </row>
    <row r="144" spans="1:7" x14ac:dyDescent="0.25">
      <c r="A144" s="93"/>
      <c r="B144" s="97"/>
      <c r="C144" s="171">
        <v>6311</v>
      </c>
      <c r="D144" s="184" t="s">
        <v>457</v>
      </c>
      <c r="E144" s="195"/>
      <c r="F144" s="138">
        <f>+'PRES EGRESO PROG 2025'!W45+'PRES EGRESO PROG 2025'!W166</f>
        <v>110</v>
      </c>
    </row>
    <row r="145" spans="1:7" x14ac:dyDescent="0.25">
      <c r="A145" s="93"/>
      <c r="B145" s="97"/>
      <c r="C145" s="171">
        <v>6321</v>
      </c>
      <c r="D145" s="184" t="s">
        <v>456</v>
      </c>
      <c r="E145" s="195"/>
      <c r="F145" s="138">
        <v>0</v>
      </c>
    </row>
    <row r="146" spans="1:7" ht="18.75" x14ac:dyDescent="0.3">
      <c r="A146" s="144">
        <v>7000</v>
      </c>
      <c r="B146" s="187"/>
      <c r="C146" s="187"/>
      <c r="D146" s="176" t="s">
        <v>141</v>
      </c>
      <c r="E146" s="195"/>
      <c r="F146" s="139">
        <f>F147</f>
        <v>0</v>
      </c>
      <c r="G146" s="208"/>
    </row>
    <row r="147" spans="1:7" ht="15.75" x14ac:dyDescent="0.25">
      <c r="A147" s="92"/>
      <c r="B147" s="178">
        <v>7900</v>
      </c>
      <c r="C147" s="178"/>
      <c r="D147" s="180" t="s">
        <v>142</v>
      </c>
      <c r="E147" s="177"/>
      <c r="F147" s="139">
        <f>F148</f>
        <v>0</v>
      </c>
      <c r="G147" s="87"/>
    </row>
    <row r="148" spans="1:7" x14ac:dyDescent="0.25">
      <c r="A148" s="93"/>
      <c r="B148" s="171"/>
      <c r="C148" s="171">
        <v>7991</v>
      </c>
      <c r="D148" s="182" t="s">
        <v>143</v>
      </c>
      <c r="E148" s="177"/>
      <c r="F148" s="138">
        <v>0</v>
      </c>
    </row>
    <row r="149" spans="1:7" ht="18.75" x14ac:dyDescent="0.3">
      <c r="A149" s="144">
        <v>8000</v>
      </c>
      <c r="B149" s="187"/>
      <c r="C149" s="187"/>
      <c r="D149" s="176" t="s">
        <v>144</v>
      </c>
      <c r="E149" s="177"/>
      <c r="F149" s="138"/>
    </row>
    <row r="150" spans="1:7" ht="18.75" x14ac:dyDescent="0.3">
      <c r="A150" s="144">
        <v>9000</v>
      </c>
      <c r="B150" s="187"/>
      <c r="C150" s="187"/>
      <c r="D150" s="176" t="s">
        <v>145</v>
      </c>
      <c r="E150" s="195"/>
      <c r="F150" s="139">
        <f>F151</f>
        <v>0</v>
      </c>
      <c r="G150" s="208"/>
    </row>
    <row r="151" spans="1:7" ht="15.75" x14ac:dyDescent="0.25">
      <c r="A151" s="92"/>
      <c r="B151" s="178">
        <v>9900</v>
      </c>
      <c r="C151" s="178"/>
      <c r="D151" s="180" t="s">
        <v>146</v>
      </c>
      <c r="E151" s="177"/>
      <c r="F151" s="139">
        <f>F152</f>
        <v>0</v>
      </c>
      <c r="G151" s="87"/>
    </row>
    <row r="152" spans="1:7" x14ac:dyDescent="0.25">
      <c r="A152" s="93"/>
      <c r="B152" s="171"/>
      <c r="C152" s="171">
        <v>9911</v>
      </c>
      <c r="D152" s="182" t="s">
        <v>147</v>
      </c>
      <c r="E152" s="177"/>
      <c r="F152" s="138">
        <v>0</v>
      </c>
    </row>
  </sheetData>
  <autoFilter ref="A9:F152" xr:uid="{00000000-0009-0000-0000-000004000000}"/>
  <pageMargins left="0.70866141732283472" right="0.70866141732283472" top="0.74803149606299213" bottom="0.78740157480314965" header="0.31496062992125984" footer="0.31496062992125984"/>
  <pageSetup paperSize="5" scale="58" fitToHeight="0" orientation="portrait" r:id="rId1"/>
  <headerFooter>
    <oddFooter>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3:N82"/>
  <sheetViews>
    <sheetView view="pageLayout" topLeftCell="A67" workbookViewId="0">
      <selection sqref="A1:M98"/>
    </sheetView>
  </sheetViews>
  <sheetFormatPr baseColWidth="10" defaultRowHeight="15" x14ac:dyDescent="0.25"/>
  <cols>
    <col min="9" max="9" width="7.7109375" customWidth="1"/>
    <col min="10" max="10" width="16.28515625" bestFit="1" customWidth="1"/>
    <col min="11" max="11" width="14.7109375" hidden="1" customWidth="1"/>
    <col min="12" max="12" width="13.140625" hidden="1" customWidth="1"/>
    <col min="14" max="14" width="13.140625" bestFit="1" customWidth="1"/>
  </cols>
  <sheetData>
    <row r="3" spans="1:14" ht="15.75" x14ac:dyDescent="0.25">
      <c r="C3" s="409" t="s">
        <v>0</v>
      </c>
      <c r="D3" s="409"/>
      <c r="E3" s="409"/>
      <c r="F3" s="409"/>
      <c r="G3" s="409"/>
      <c r="H3" s="409"/>
      <c r="I3" s="409"/>
    </row>
    <row r="4" spans="1:14" ht="37.5" customHeight="1" x14ac:dyDescent="0.3">
      <c r="C4" s="410" t="s">
        <v>573</v>
      </c>
      <c r="D4" s="410"/>
      <c r="E4" s="410"/>
      <c r="F4" s="410"/>
      <c r="G4" s="410"/>
      <c r="H4" s="410"/>
      <c r="I4" s="410"/>
    </row>
    <row r="5" spans="1:14" ht="18.75" x14ac:dyDescent="0.3">
      <c r="C5" s="411" t="s">
        <v>533</v>
      </c>
      <c r="D5" s="411"/>
      <c r="E5" s="411"/>
      <c r="F5" s="411"/>
      <c r="G5" s="411"/>
      <c r="H5" s="411"/>
      <c r="I5" s="411"/>
    </row>
    <row r="6" spans="1:14" ht="16.5" thickBot="1" x14ac:dyDescent="0.3">
      <c r="A6" s="461"/>
      <c r="B6" s="461"/>
      <c r="C6" s="461"/>
      <c r="D6" s="461"/>
      <c r="E6" s="461"/>
      <c r="F6" s="461"/>
      <c r="G6" s="461"/>
      <c r="H6" s="461"/>
      <c r="I6" s="461"/>
      <c r="J6" s="102" t="s">
        <v>338</v>
      </c>
    </row>
    <row r="7" spans="1:14" ht="16.5" thickBot="1" x14ac:dyDescent="0.3">
      <c r="A7" s="462" t="s">
        <v>47</v>
      </c>
      <c r="B7" s="463"/>
      <c r="C7" s="463"/>
      <c r="D7" s="463"/>
      <c r="E7" s="463"/>
      <c r="F7" s="463"/>
      <c r="G7" s="463"/>
      <c r="H7" s="463"/>
      <c r="I7" s="464"/>
      <c r="J7" s="103">
        <f>SUM(J8+J46+J74)</f>
        <v>29595902.130609736</v>
      </c>
      <c r="K7" s="89" t="e">
        <f>SUM(K10:K82)</f>
        <v>#REF!</v>
      </c>
      <c r="L7" s="100" t="e">
        <f>K7-#REF!</f>
        <v>#REF!</v>
      </c>
      <c r="M7" s="99"/>
    </row>
    <row r="8" spans="1:14" x14ac:dyDescent="0.25">
      <c r="A8" s="104">
        <v>1</v>
      </c>
      <c r="B8" s="451" t="s">
        <v>339</v>
      </c>
      <c r="C8" s="451"/>
      <c r="D8" s="451"/>
      <c r="E8" s="451"/>
      <c r="F8" s="451"/>
      <c r="G8" s="451"/>
      <c r="H8" s="451"/>
      <c r="I8" s="452"/>
      <c r="J8" s="105">
        <f>+J9+J18+J28+J38</f>
        <v>22444872.130609736</v>
      </c>
      <c r="N8" s="100"/>
    </row>
    <row r="9" spans="1:14" x14ac:dyDescent="0.25">
      <c r="A9" s="457">
        <v>1000</v>
      </c>
      <c r="B9" s="458"/>
      <c r="C9" s="459" t="s">
        <v>340</v>
      </c>
      <c r="D9" s="459"/>
      <c r="E9" s="459"/>
      <c r="F9" s="459"/>
      <c r="G9" s="459"/>
      <c r="H9" s="459"/>
      <c r="I9" s="460"/>
      <c r="J9" s="106">
        <f>SUM(J10:J17)</f>
        <v>8220650.6720482884</v>
      </c>
    </row>
    <row r="10" spans="1:14" x14ac:dyDescent="0.25">
      <c r="A10" s="443">
        <v>1100</v>
      </c>
      <c r="B10" s="444"/>
      <c r="C10" s="444"/>
      <c r="D10" s="445" t="s">
        <v>341</v>
      </c>
      <c r="E10" s="445"/>
      <c r="F10" s="445"/>
      <c r="G10" s="445"/>
      <c r="H10" s="445"/>
      <c r="I10" s="446"/>
      <c r="J10" s="107">
        <f>'PRESU. EGRESOS POR GASTO-1 2025'!F11</f>
        <v>5236195.364241655</v>
      </c>
      <c r="K10" s="89" t="e">
        <f>#REF!+#REF!+#REF!</f>
        <v>#REF!</v>
      </c>
      <c r="L10" s="100" t="e">
        <f>K10-J10</f>
        <v>#REF!</v>
      </c>
    </row>
    <row r="11" spans="1:14" x14ac:dyDescent="0.25">
      <c r="A11" s="443">
        <v>1200</v>
      </c>
      <c r="B11" s="444"/>
      <c r="C11" s="444"/>
      <c r="D11" s="445" t="s">
        <v>342</v>
      </c>
      <c r="E11" s="445"/>
      <c r="F11" s="445"/>
      <c r="G11" s="445"/>
      <c r="H11" s="445"/>
      <c r="I11" s="446"/>
      <c r="J11" s="107">
        <f>'PRESU. EGRESOS POR GASTO-1 2025'!F13</f>
        <v>70000</v>
      </c>
      <c r="K11" s="89" t="e">
        <f>#REF!+#REF!+#REF!</f>
        <v>#REF!</v>
      </c>
      <c r="L11" s="100" t="e">
        <f t="shared" ref="L11:L74" si="0">K11-J11</f>
        <v>#REF!</v>
      </c>
    </row>
    <row r="12" spans="1:14" x14ac:dyDescent="0.25">
      <c r="A12" s="443">
        <v>1300</v>
      </c>
      <c r="B12" s="444"/>
      <c r="C12" s="444"/>
      <c r="D12" s="445" t="s">
        <v>56</v>
      </c>
      <c r="E12" s="445"/>
      <c r="F12" s="445"/>
      <c r="G12" s="445"/>
      <c r="H12" s="445"/>
      <c r="I12" s="446"/>
      <c r="J12" s="107">
        <f>'PRESU. EGRESOS POR GASTO-1 2025'!F17</f>
        <v>852033.89138246828</v>
      </c>
      <c r="K12" s="89" t="e">
        <f>#REF!+#REF!+#REF!+#REF!+#REF!+#REF!+#REF!+#REF!+#REF!+#REF!</f>
        <v>#REF!</v>
      </c>
      <c r="L12" s="100" t="e">
        <f t="shared" si="0"/>
        <v>#REF!</v>
      </c>
    </row>
    <row r="13" spans="1:14" x14ac:dyDescent="0.25">
      <c r="A13" s="443">
        <v>1400</v>
      </c>
      <c r="B13" s="444"/>
      <c r="C13" s="444"/>
      <c r="D13" s="445" t="s">
        <v>59</v>
      </c>
      <c r="E13" s="445"/>
      <c r="F13" s="445"/>
      <c r="G13" s="445"/>
      <c r="H13" s="445"/>
      <c r="I13" s="446"/>
      <c r="J13" s="107">
        <f>'PRESU. EGRESOS POR GASTO-1 2025'!F21</f>
        <v>1305911.72</v>
      </c>
      <c r="K13" s="89" t="e">
        <f>#REF!+#REF!+#REF!+#REF!+#REF!+#REF!+#REF!+#REF!+#REF!</f>
        <v>#REF!</v>
      </c>
      <c r="L13" s="100" t="e">
        <f t="shared" si="0"/>
        <v>#REF!</v>
      </c>
    </row>
    <row r="14" spans="1:14" x14ac:dyDescent="0.25">
      <c r="A14" s="443">
        <v>1500</v>
      </c>
      <c r="B14" s="444"/>
      <c r="C14" s="444"/>
      <c r="D14" s="445" t="s">
        <v>63</v>
      </c>
      <c r="E14" s="445"/>
      <c r="F14" s="445"/>
      <c r="G14" s="445"/>
      <c r="H14" s="445"/>
      <c r="I14" s="446"/>
      <c r="J14" s="107">
        <f>'PRESU. EGRESOS POR GASTO-1 2025'!F25</f>
        <v>756509.69642416551</v>
      </c>
      <c r="K14" s="89" t="e">
        <f>#REF!+#REF!+#REF!+#REF!+#REF!</f>
        <v>#REF!</v>
      </c>
      <c r="L14" s="100" t="e">
        <f t="shared" si="0"/>
        <v>#REF!</v>
      </c>
    </row>
    <row r="15" spans="1:14" x14ac:dyDescent="0.25">
      <c r="A15" s="443">
        <v>1600</v>
      </c>
      <c r="B15" s="444"/>
      <c r="C15" s="444"/>
      <c r="D15" s="445" t="s">
        <v>65</v>
      </c>
      <c r="E15" s="445"/>
      <c r="F15" s="445"/>
      <c r="G15" s="445"/>
      <c r="H15" s="445"/>
      <c r="I15" s="446"/>
      <c r="J15" s="107">
        <f>'PRESU. EGRESOS POR GASTO-1 2025'!F30</f>
        <v>0</v>
      </c>
      <c r="K15" s="89" t="e">
        <f>#REF!+#REF!+#REF!</f>
        <v>#REF!</v>
      </c>
      <c r="L15" s="100" t="e">
        <f t="shared" si="0"/>
        <v>#REF!</v>
      </c>
    </row>
    <row r="16" spans="1:14" x14ac:dyDescent="0.25">
      <c r="A16" s="443">
        <v>1700</v>
      </c>
      <c r="B16" s="444"/>
      <c r="C16" s="444"/>
      <c r="D16" s="445" t="s">
        <v>308</v>
      </c>
      <c r="E16" s="445"/>
      <c r="F16" s="445"/>
      <c r="G16" s="445"/>
      <c r="H16" s="445"/>
      <c r="I16" s="446"/>
      <c r="J16" s="107">
        <f>'PRESU. EGRESOS POR GASTO-1 2025'!F32</f>
        <v>0</v>
      </c>
      <c r="L16" s="100">
        <f t="shared" si="0"/>
        <v>0</v>
      </c>
    </row>
    <row r="17" spans="1:12" x14ac:dyDescent="0.25">
      <c r="A17" s="443">
        <v>1800</v>
      </c>
      <c r="B17" s="444"/>
      <c r="C17" s="444"/>
      <c r="D17" s="445" t="s">
        <v>343</v>
      </c>
      <c r="E17" s="445"/>
      <c r="F17" s="445"/>
      <c r="G17" s="445"/>
      <c r="H17" s="445"/>
      <c r="I17" s="446"/>
      <c r="J17" s="108">
        <f>'PRESU. EGRESOS POR GASTO-1 2025'!F34</f>
        <v>0</v>
      </c>
      <c r="K17" s="89" t="e">
        <f>#REF!</f>
        <v>#REF!</v>
      </c>
      <c r="L17" s="100" t="e">
        <f t="shared" si="0"/>
        <v>#REF!</v>
      </c>
    </row>
    <row r="18" spans="1:12" x14ac:dyDescent="0.25">
      <c r="A18" s="457">
        <v>2000</v>
      </c>
      <c r="B18" s="458"/>
      <c r="C18" s="459" t="s">
        <v>344</v>
      </c>
      <c r="D18" s="459"/>
      <c r="E18" s="459"/>
      <c r="F18" s="459"/>
      <c r="G18" s="459"/>
      <c r="H18" s="459"/>
      <c r="I18" s="460"/>
      <c r="J18" s="106">
        <f>SUM(J19:J27)</f>
        <v>3739551.2</v>
      </c>
      <c r="L18" s="100">
        <f t="shared" si="0"/>
        <v>-3739551.2</v>
      </c>
    </row>
    <row r="19" spans="1:12" x14ac:dyDescent="0.25">
      <c r="A19" s="443">
        <v>2100</v>
      </c>
      <c r="B19" s="444"/>
      <c r="C19" s="444"/>
      <c r="D19" s="445" t="s">
        <v>345</v>
      </c>
      <c r="E19" s="445"/>
      <c r="F19" s="445"/>
      <c r="G19" s="445"/>
      <c r="H19" s="445"/>
      <c r="I19" s="446"/>
      <c r="J19" s="107">
        <f>'PRESU. EGRESOS POR GASTO-1 2025'!F37</f>
        <v>398010</v>
      </c>
      <c r="K19" s="89" t="e">
        <f>#REF!+#REF!+#REF!+#REF!+#REF!+#REF!+#REF!+#REF!+#REF!</f>
        <v>#REF!</v>
      </c>
      <c r="L19" s="100" t="e">
        <f t="shared" si="0"/>
        <v>#REF!</v>
      </c>
    </row>
    <row r="20" spans="1:12" x14ac:dyDescent="0.25">
      <c r="A20" s="443">
        <v>2200</v>
      </c>
      <c r="B20" s="444"/>
      <c r="C20" s="444"/>
      <c r="D20" s="445" t="s">
        <v>309</v>
      </c>
      <c r="E20" s="445"/>
      <c r="F20" s="445"/>
      <c r="G20" s="445"/>
      <c r="H20" s="445"/>
      <c r="I20" s="446"/>
      <c r="J20" s="107">
        <f>'PRESU. EGRESOS POR GASTO-1 2025'!F43</f>
        <v>57291.199999999997</v>
      </c>
      <c r="K20" s="89" t="e">
        <f>#REF!+#REF!</f>
        <v>#REF!</v>
      </c>
      <c r="L20" s="100" t="e">
        <f t="shared" si="0"/>
        <v>#REF!</v>
      </c>
    </row>
    <row r="21" spans="1:12" x14ac:dyDescent="0.25">
      <c r="A21" s="443">
        <v>2300</v>
      </c>
      <c r="B21" s="444"/>
      <c r="C21" s="444"/>
      <c r="D21" s="445" t="s">
        <v>310</v>
      </c>
      <c r="E21" s="445"/>
      <c r="F21" s="445"/>
      <c r="G21" s="445"/>
      <c r="H21" s="445"/>
      <c r="I21" s="446"/>
      <c r="J21" s="107">
        <v>0</v>
      </c>
      <c r="L21" s="100">
        <f t="shared" si="0"/>
        <v>0</v>
      </c>
    </row>
    <row r="22" spans="1:12" x14ac:dyDescent="0.25">
      <c r="A22" s="443">
        <v>2400</v>
      </c>
      <c r="B22" s="444"/>
      <c r="C22" s="444"/>
      <c r="D22" s="445" t="s">
        <v>346</v>
      </c>
      <c r="E22" s="445"/>
      <c r="F22" s="445"/>
      <c r="G22" s="445"/>
      <c r="H22" s="445"/>
      <c r="I22" s="446"/>
      <c r="J22" s="107">
        <f>'PRESU. EGRESOS POR GASTO-1 2025'!F45</f>
        <v>1790000</v>
      </c>
      <c r="K22" s="89" t="e">
        <f>#REF!+#REF!+#REF!+#REF!+#REF!+#REF!+#REF!+#REF!+#REF!+#REF!+#REF!+#REF!+#REF!</f>
        <v>#REF!</v>
      </c>
      <c r="L22" s="100" t="e">
        <f t="shared" si="0"/>
        <v>#REF!</v>
      </c>
    </row>
    <row r="23" spans="1:12" x14ac:dyDescent="0.25">
      <c r="A23" s="443">
        <v>2500</v>
      </c>
      <c r="B23" s="444"/>
      <c r="C23" s="444"/>
      <c r="D23" s="445" t="s">
        <v>347</v>
      </c>
      <c r="E23" s="445"/>
      <c r="F23" s="445"/>
      <c r="G23" s="445"/>
      <c r="H23" s="445"/>
      <c r="I23" s="446"/>
      <c r="J23" s="107">
        <f>'PRESU. EGRESOS POR GASTO-1 2025'!F53</f>
        <v>323740</v>
      </c>
      <c r="K23" s="89" t="e">
        <f>#REF!+#REF!+#REF!+#REF!+#REF!+#REF!+#REF!</f>
        <v>#REF!</v>
      </c>
      <c r="L23" s="100" t="e">
        <f t="shared" si="0"/>
        <v>#REF!</v>
      </c>
    </row>
    <row r="24" spans="1:12" x14ac:dyDescent="0.25">
      <c r="A24" s="443">
        <v>2600</v>
      </c>
      <c r="B24" s="444"/>
      <c r="C24" s="444"/>
      <c r="D24" s="445" t="s">
        <v>85</v>
      </c>
      <c r="E24" s="445"/>
      <c r="F24" s="445"/>
      <c r="G24" s="445"/>
      <c r="H24" s="445"/>
      <c r="I24" s="446"/>
      <c r="J24" s="107">
        <f>'PRESU. EGRESOS POR GASTO-1 2025'!F56</f>
        <v>437500</v>
      </c>
      <c r="K24" s="89" t="e">
        <f>#REF!+#REF!+#REF!+#REF!+#REF!+#REF!+#REF!+#REF!+#REF!+#REF!+#REF!+#REF!+#REF!</f>
        <v>#REF!</v>
      </c>
      <c r="L24" s="100" t="e">
        <f t="shared" si="0"/>
        <v>#REF!</v>
      </c>
    </row>
    <row r="25" spans="1:12" x14ac:dyDescent="0.25">
      <c r="A25" s="443">
        <v>2700</v>
      </c>
      <c r="B25" s="444"/>
      <c r="C25" s="444"/>
      <c r="D25" s="445" t="s">
        <v>86</v>
      </c>
      <c r="E25" s="445"/>
      <c r="F25" s="445"/>
      <c r="G25" s="445"/>
      <c r="H25" s="445"/>
      <c r="I25" s="446"/>
      <c r="J25" s="107">
        <f>'PRESU. EGRESOS POR GASTO-1 2025'!F59</f>
        <v>80010</v>
      </c>
      <c r="K25" s="89" t="e">
        <f>#REF!+#REF!+#REF!+#REF!</f>
        <v>#REF!</v>
      </c>
      <c r="L25" s="100" t="e">
        <f t="shared" si="0"/>
        <v>#REF!</v>
      </c>
    </row>
    <row r="26" spans="1:12" x14ac:dyDescent="0.25">
      <c r="A26" s="443">
        <v>2800</v>
      </c>
      <c r="B26" s="444"/>
      <c r="C26" s="444"/>
      <c r="D26" s="445" t="s">
        <v>348</v>
      </c>
      <c r="E26" s="445"/>
      <c r="F26" s="445"/>
      <c r="G26" s="445"/>
      <c r="H26" s="445"/>
      <c r="I26" s="446"/>
      <c r="J26" s="107">
        <v>0</v>
      </c>
      <c r="L26" s="100">
        <f t="shared" si="0"/>
        <v>0</v>
      </c>
    </row>
    <row r="27" spans="1:12" x14ac:dyDescent="0.25">
      <c r="A27" s="443">
        <v>2900</v>
      </c>
      <c r="B27" s="444"/>
      <c r="C27" s="444"/>
      <c r="D27" s="445" t="s">
        <v>89</v>
      </c>
      <c r="E27" s="445"/>
      <c r="F27" s="445"/>
      <c r="G27" s="445"/>
      <c r="H27" s="445"/>
      <c r="I27" s="446"/>
      <c r="J27" s="107">
        <f>'PRESU. EGRESOS POR GASTO-1 2025'!F62</f>
        <v>653000</v>
      </c>
      <c r="K27" s="89" t="e">
        <f>#REF!+#REF!+#REF!+#REF!+#REF!+#REF!+#REF!+#REF!+#REF!+#REF!</f>
        <v>#REF!</v>
      </c>
      <c r="L27" s="100" t="e">
        <f t="shared" si="0"/>
        <v>#REF!</v>
      </c>
    </row>
    <row r="28" spans="1:12" x14ac:dyDescent="0.25">
      <c r="A28" s="453">
        <v>3000</v>
      </c>
      <c r="B28" s="454"/>
      <c r="C28" s="455" t="s">
        <v>349</v>
      </c>
      <c r="D28" s="455"/>
      <c r="E28" s="455"/>
      <c r="F28" s="455"/>
      <c r="G28" s="455"/>
      <c r="H28" s="455"/>
      <c r="I28" s="456"/>
      <c r="J28" s="106">
        <f>+J29+J30+J31+J32+J33+J34+J35+J36+J37</f>
        <v>10438670.258561449</v>
      </c>
      <c r="L28" s="100">
        <f t="shared" si="0"/>
        <v>-10438670.258561449</v>
      </c>
    </row>
    <row r="29" spans="1:12" x14ac:dyDescent="0.25">
      <c r="A29" s="443">
        <v>3100</v>
      </c>
      <c r="B29" s="444"/>
      <c r="C29" s="444"/>
      <c r="D29" s="445" t="s">
        <v>95</v>
      </c>
      <c r="E29" s="445"/>
      <c r="F29" s="445"/>
      <c r="G29" s="445"/>
      <c r="H29" s="445"/>
      <c r="I29" s="446"/>
      <c r="J29" s="107">
        <f>'PRESU. EGRESOS POR GASTO-1 2025'!F69</f>
        <v>5277440</v>
      </c>
      <c r="K29" s="89" t="e">
        <f>#REF!+#REF!+#REF!+#REF!+#REF!+#REF!+#REF!+#REF!+#REF!+#REF!+#REF!</f>
        <v>#REF!</v>
      </c>
      <c r="L29" s="100" t="e">
        <f t="shared" si="0"/>
        <v>#REF!</v>
      </c>
    </row>
    <row r="30" spans="1:12" x14ac:dyDescent="0.25">
      <c r="A30" s="443">
        <v>3200</v>
      </c>
      <c r="B30" s="444"/>
      <c r="C30" s="444"/>
      <c r="D30" s="445" t="s">
        <v>99</v>
      </c>
      <c r="E30" s="445"/>
      <c r="F30" s="445"/>
      <c r="G30" s="445"/>
      <c r="H30" s="445"/>
      <c r="I30" s="446"/>
      <c r="J30" s="107">
        <f>'PRESU. EGRESOS POR GASTO-1 2025'!F75</f>
        <v>839893.31</v>
      </c>
      <c r="K30" s="89" t="e">
        <f>#REF!+#REF!+#REF!</f>
        <v>#REF!</v>
      </c>
      <c r="L30" s="100" t="e">
        <f t="shared" si="0"/>
        <v>#REF!</v>
      </c>
    </row>
    <row r="31" spans="1:12" x14ac:dyDescent="0.25">
      <c r="A31" s="443">
        <v>3300</v>
      </c>
      <c r="B31" s="444"/>
      <c r="C31" s="444"/>
      <c r="D31" s="445" t="s">
        <v>350</v>
      </c>
      <c r="E31" s="445"/>
      <c r="F31" s="445"/>
      <c r="G31" s="445"/>
      <c r="H31" s="445"/>
      <c r="I31" s="446"/>
      <c r="J31" s="107">
        <f>'PRESU. EGRESOS POR GASTO-1 2025'!F78</f>
        <v>971040</v>
      </c>
      <c r="K31" s="89" t="e">
        <f>#REF!+#REF!+#REF!+#REF!+#REF!+#REF!+#REF!+#REF!+#REF!+#REF!+#REF!+#REF!+#REF!+#REF!+#REF!+#REF!+#REF!+#REF!+#REF!+#REF!</f>
        <v>#REF!</v>
      </c>
      <c r="L31" s="100" t="e">
        <f t="shared" si="0"/>
        <v>#REF!</v>
      </c>
    </row>
    <row r="32" spans="1:12" x14ac:dyDescent="0.25">
      <c r="A32" s="443">
        <v>3400</v>
      </c>
      <c r="B32" s="444"/>
      <c r="C32" s="444"/>
      <c r="D32" s="445" t="s">
        <v>107</v>
      </c>
      <c r="E32" s="445"/>
      <c r="F32" s="445"/>
      <c r="G32" s="445"/>
      <c r="H32" s="445"/>
      <c r="I32" s="446"/>
      <c r="J32" s="107">
        <f>'PRESU. EGRESOS POR GASTO-1 2025'!F84</f>
        <v>248000</v>
      </c>
      <c r="K32" s="89" t="e">
        <f>#REF!+#REF!+#REF!+#REF!+#REF!+#REF!+#REF!+#REF!+#REF!+#REF!+#REF!</f>
        <v>#REF!</v>
      </c>
      <c r="L32" s="100" t="e">
        <f t="shared" si="0"/>
        <v>#REF!</v>
      </c>
    </row>
    <row r="33" spans="1:12" x14ac:dyDescent="0.25">
      <c r="A33" s="443">
        <v>3500</v>
      </c>
      <c r="B33" s="444"/>
      <c r="C33" s="444"/>
      <c r="D33" s="445" t="s">
        <v>111</v>
      </c>
      <c r="E33" s="445"/>
      <c r="F33" s="445"/>
      <c r="G33" s="445"/>
      <c r="H33" s="445"/>
      <c r="I33" s="446"/>
      <c r="J33" s="107">
        <f>'PRESU. EGRESOS POR GASTO-1 2025'!F88</f>
        <v>1205364.78</v>
      </c>
      <c r="K33" s="89" t="e">
        <f>#REF!+#REF!+#REF!+#REF!+#REF!+#REF!+#REF!+#REF!+#REF!+#REF!+#REF!+#REF!+#REF!+#REF!+#REF!+#REF!+#REF!+#REF!+#REF!+#REF!+#REF!+#REF!+#REF!+#REF!+#REF!</f>
        <v>#REF!</v>
      </c>
      <c r="L33" s="100" t="e">
        <f t="shared" si="0"/>
        <v>#REF!</v>
      </c>
    </row>
    <row r="34" spans="1:12" x14ac:dyDescent="0.25">
      <c r="A34" s="443">
        <v>3600</v>
      </c>
      <c r="B34" s="444"/>
      <c r="C34" s="444"/>
      <c r="D34" s="445" t="s">
        <v>351</v>
      </c>
      <c r="E34" s="445"/>
      <c r="F34" s="445"/>
      <c r="G34" s="445"/>
      <c r="H34" s="445"/>
      <c r="I34" s="446"/>
      <c r="J34" s="107">
        <f>'PRESU. EGRESOS POR GASTO-1 2025'!F94</f>
        <v>10</v>
      </c>
      <c r="K34" s="89" t="e">
        <f>#REF!</f>
        <v>#REF!</v>
      </c>
      <c r="L34" s="100" t="e">
        <f t="shared" si="0"/>
        <v>#REF!</v>
      </c>
    </row>
    <row r="35" spans="1:12" x14ac:dyDescent="0.25">
      <c r="A35" s="443">
        <v>3700</v>
      </c>
      <c r="B35" s="444"/>
      <c r="C35" s="444"/>
      <c r="D35" s="445" t="s">
        <v>352</v>
      </c>
      <c r="E35" s="445"/>
      <c r="F35" s="445"/>
      <c r="G35" s="445"/>
      <c r="H35" s="445"/>
      <c r="I35" s="446"/>
      <c r="J35" s="107">
        <f>'PRESU. EGRESOS POR GASTO-1 2025'!F97</f>
        <v>20000</v>
      </c>
      <c r="K35" s="89" t="e">
        <f>#REF!</f>
        <v>#REF!</v>
      </c>
      <c r="L35" s="100" t="e">
        <f t="shared" si="0"/>
        <v>#REF!</v>
      </c>
    </row>
    <row r="36" spans="1:12" x14ac:dyDescent="0.25">
      <c r="A36" s="443">
        <v>3800</v>
      </c>
      <c r="B36" s="444"/>
      <c r="C36" s="444"/>
      <c r="D36" s="445" t="s">
        <v>118</v>
      </c>
      <c r="E36" s="445"/>
      <c r="F36" s="445"/>
      <c r="G36" s="445"/>
      <c r="H36" s="445"/>
      <c r="I36" s="446"/>
      <c r="J36" s="107">
        <f>'PRESU. EGRESOS POR GASTO-1 2025'!F99</f>
        <v>176000</v>
      </c>
      <c r="K36" s="89" t="e">
        <f>#REF!</f>
        <v>#REF!</v>
      </c>
      <c r="L36" s="100" t="e">
        <f t="shared" si="0"/>
        <v>#REF!</v>
      </c>
    </row>
    <row r="37" spans="1:12" x14ac:dyDescent="0.25">
      <c r="A37" s="443">
        <v>3900</v>
      </c>
      <c r="B37" s="444"/>
      <c r="C37" s="444"/>
      <c r="D37" s="445" t="s">
        <v>120</v>
      </c>
      <c r="E37" s="445"/>
      <c r="F37" s="445"/>
      <c r="G37" s="445"/>
      <c r="H37" s="445"/>
      <c r="I37" s="446"/>
      <c r="J37" s="107">
        <f>'PRESU. EGRESOS POR GASTO-1 2025'!F102</f>
        <v>1700922.1685614486</v>
      </c>
      <c r="K37" s="89" t="e">
        <f>#REF!+#REF!+#REF!+#REF!+#REF!+#REF!+#REF!+#REF!+#REF!+#REF!+#REF!+#REF!+#REF!+#REF!+#REF!+#REF!+#REF!+#REF!+#REF!+#REF!+#REF!+#REF!</f>
        <v>#REF!</v>
      </c>
      <c r="L37" s="100" t="e">
        <f t="shared" si="0"/>
        <v>#REF!</v>
      </c>
    </row>
    <row r="38" spans="1:12" x14ac:dyDescent="0.25">
      <c r="A38" s="453">
        <v>4000</v>
      </c>
      <c r="B38" s="454"/>
      <c r="C38" s="455" t="s">
        <v>314</v>
      </c>
      <c r="D38" s="455"/>
      <c r="E38" s="455"/>
      <c r="F38" s="455"/>
      <c r="G38" s="455"/>
      <c r="H38" s="455"/>
      <c r="I38" s="456"/>
      <c r="J38" s="106">
        <f>+J39+J40+J41+J42+J43+J44+J45</f>
        <v>46000</v>
      </c>
      <c r="L38" s="100">
        <f t="shared" si="0"/>
        <v>-46000</v>
      </c>
    </row>
    <row r="39" spans="1:12" x14ac:dyDescent="0.25">
      <c r="A39" s="443">
        <v>4100</v>
      </c>
      <c r="B39" s="444"/>
      <c r="C39" s="444"/>
      <c r="D39" s="445" t="s">
        <v>315</v>
      </c>
      <c r="E39" s="445"/>
      <c r="F39" s="445"/>
      <c r="G39" s="445"/>
      <c r="H39" s="445"/>
      <c r="I39" s="446"/>
      <c r="J39" s="107">
        <v>0</v>
      </c>
      <c r="L39" s="100">
        <f t="shared" si="0"/>
        <v>0</v>
      </c>
    </row>
    <row r="40" spans="1:12" x14ac:dyDescent="0.25">
      <c r="A40" s="443">
        <v>4200</v>
      </c>
      <c r="B40" s="444"/>
      <c r="C40" s="444"/>
      <c r="D40" s="445" t="s">
        <v>316</v>
      </c>
      <c r="E40" s="445"/>
      <c r="F40" s="445"/>
      <c r="G40" s="445"/>
      <c r="H40" s="445"/>
      <c r="I40" s="446"/>
      <c r="J40" s="107">
        <v>0</v>
      </c>
      <c r="L40" s="100">
        <f t="shared" si="0"/>
        <v>0</v>
      </c>
    </row>
    <row r="41" spans="1:12" x14ac:dyDescent="0.25">
      <c r="A41" s="443">
        <v>4300</v>
      </c>
      <c r="B41" s="444"/>
      <c r="C41" s="444"/>
      <c r="D41" s="445" t="s">
        <v>317</v>
      </c>
      <c r="E41" s="445"/>
      <c r="F41" s="445"/>
      <c r="G41" s="445"/>
      <c r="H41" s="445"/>
      <c r="I41" s="446"/>
      <c r="J41" s="107">
        <v>0</v>
      </c>
      <c r="L41" s="100">
        <f t="shared" si="0"/>
        <v>0</v>
      </c>
    </row>
    <row r="42" spans="1:12" x14ac:dyDescent="0.25">
      <c r="A42" s="443">
        <v>4400</v>
      </c>
      <c r="B42" s="444"/>
      <c r="C42" s="444"/>
      <c r="D42" s="445" t="s">
        <v>318</v>
      </c>
      <c r="E42" s="445"/>
      <c r="F42" s="445"/>
      <c r="G42" s="445"/>
      <c r="H42" s="445"/>
      <c r="I42" s="446"/>
      <c r="J42" s="107">
        <f>'PRESU. EGRESOS POR GASTO-1 2025'!F109</f>
        <v>46000</v>
      </c>
      <c r="K42" s="89" t="e">
        <f>#REF!</f>
        <v>#REF!</v>
      </c>
      <c r="L42" s="100" t="e">
        <f t="shared" si="0"/>
        <v>#REF!</v>
      </c>
    </row>
    <row r="43" spans="1:12" x14ac:dyDescent="0.25">
      <c r="A43" s="443">
        <v>4500</v>
      </c>
      <c r="B43" s="444"/>
      <c r="C43" s="444"/>
      <c r="D43" s="445" t="s">
        <v>319</v>
      </c>
      <c r="E43" s="445"/>
      <c r="F43" s="445"/>
      <c r="G43" s="445"/>
      <c r="H43" s="445"/>
      <c r="I43" s="446"/>
      <c r="J43" s="107">
        <v>0</v>
      </c>
      <c r="L43" s="100">
        <f t="shared" si="0"/>
        <v>0</v>
      </c>
    </row>
    <row r="44" spans="1:12" x14ac:dyDescent="0.25">
      <c r="A44" s="443">
        <v>4600</v>
      </c>
      <c r="B44" s="444"/>
      <c r="C44" s="444"/>
      <c r="D44" s="445" t="s">
        <v>353</v>
      </c>
      <c r="E44" s="445"/>
      <c r="F44" s="445"/>
      <c r="G44" s="445"/>
      <c r="H44" s="445"/>
      <c r="I44" s="446"/>
      <c r="J44" s="108">
        <v>0</v>
      </c>
      <c r="L44" s="100">
        <f t="shared" si="0"/>
        <v>0</v>
      </c>
    </row>
    <row r="45" spans="1:12" ht="15.75" thickBot="1" x14ac:dyDescent="0.3">
      <c r="A45" s="443">
        <v>4900</v>
      </c>
      <c r="B45" s="444"/>
      <c r="C45" s="444"/>
      <c r="D45" s="445" t="s">
        <v>354</v>
      </c>
      <c r="E45" s="445"/>
      <c r="F45" s="445"/>
      <c r="G45" s="445"/>
      <c r="H45" s="445"/>
      <c r="I45" s="446"/>
      <c r="J45" s="108">
        <v>0</v>
      </c>
      <c r="L45" s="100">
        <f t="shared" si="0"/>
        <v>0</v>
      </c>
    </row>
    <row r="46" spans="1:12" x14ac:dyDescent="0.25">
      <c r="A46" s="104">
        <v>2</v>
      </c>
      <c r="B46" s="451" t="s">
        <v>355</v>
      </c>
      <c r="C46" s="451"/>
      <c r="D46" s="451"/>
      <c r="E46" s="451"/>
      <c r="F46" s="451"/>
      <c r="G46" s="451"/>
      <c r="H46" s="451"/>
      <c r="I46" s="452"/>
      <c r="J46" s="105">
        <f>SUM(J47+J57+J62+J70)</f>
        <v>7151030</v>
      </c>
      <c r="L46" s="100">
        <f t="shared" si="0"/>
        <v>-7151030</v>
      </c>
    </row>
    <row r="47" spans="1:12" x14ac:dyDescent="0.25">
      <c r="A47" s="453">
        <v>5000</v>
      </c>
      <c r="B47" s="454"/>
      <c r="C47" s="455" t="s">
        <v>356</v>
      </c>
      <c r="D47" s="455"/>
      <c r="E47" s="455"/>
      <c r="F47" s="455"/>
      <c r="G47" s="455"/>
      <c r="H47" s="455"/>
      <c r="I47" s="456"/>
      <c r="J47" s="106">
        <f>SUM(J48:J56)</f>
        <v>4580880</v>
      </c>
      <c r="L47" s="100">
        <f t="shared" si="0"/>
        <v>-4580880</v>
      </c>
    </row>
    <row r="48" spans="1:12" x14ac:dyDescent="0.25">
      <c r="A48" s="443">
        <v>5100</v>
      </c>
      <c r="B48" s="444"/>
      <c r="C48" s="444"/>
      <c r="D48" s="445" t="s">
        <v>128</v>
      </c>
      <c r="E48" s="445"/>
      <c r="F48" s="445"/>
      <c r="G48" s="445"/>
      <c r="H48" s="445"/>
      <c r="I48" s="446"/>
      <c r="J48" s="107">
        <f>'PRESU. EGRESOS POR GASTO-1 2025'!F113</f>
        <v>425000</v>
      </c>
      <c r="K48" s="89" t="e">
        <f>#REF!+#REF!+#REF!+#REF!+#REF!+#REF!</f>
        <v>#REF!</v>
      </c>
      <c r="L48" s="100" t="e">
        <f t="shared" si="0"/>
        <v>#REF!</v>
      </c>
    </row>
    <row r="49" spans="1:12" x14ac:dyDescent="0.25">
      <c r="A49" s="443">
        <v>5200</v>
      </c>
      <c r="B49" s="444"/>
      <c r="C49" s="444"/>
      <c r="D49" s="445" t="s">
        <v>357</v>
      </c>
      <c r="E49" s="445"/>
      <c r="F49" s="445"/>
      <c r="G49" s="445"/>
      <c r="H49" s="445"/>
      <c r="I49" s="446"/>
      <c r="J49" s="89">
        <f>'PRESU. EGRESOS POR GASTO-1 2025'!F117</f>
        <v>0</v>
      </c>
      <c r="K49" s="89" t="e">
        <f>#REF!</f>
        <v>#REF!</v>
      </c>
      <c r="L49" s="100" t="e">
        <f t="shared" si="0"/>
        <v>#REF!</v>
      </c>
    </row>
    <row r="50" spans="1:12" x14ac:dyDescent="0.25">
      <c r="A50" s="443">
        <v>5300</v>
      </c>
      <c r="B50" s="444"/>
      <c r="C50" s="444"/>
      <c r="D50" s="445" t="s">
        <v>358</v>
      </c>
      <c r="E50" s="445"/>
      <c r="F50" s="445"/>
      <c r="G50" s="445"/>
      <c r="H50" s="445"/>
      <c r="I50" s="446"/>
      <c r="J50" s="107">
        <v>0</v>
      </c>
      <c r="L50" s="100">
        <f t="shared" si="0"/>
        <v>0</v>
      </c>
    </row>
    <row r="51" spans="1:12" x14ac:dyDescent="0.25">
      <c r="A51" s="443">
        <v>5400</v>
      </c>
      <c r="B51" s="444"/>
      <c r="C51" s="444"/>
      <c r="D51" s="445" t="s">
        <v>320</v>
      </c>
      <c r="E51" s="445"/>
      <c r="F51" s="445"/>
      <c r="G51" s="445"/>
      <c r="H51" s="445"/>
      <c r="I51" s="446"/>
      <c r="J51" s="107">
        <f>'PRESU. EGRESOS POR GASTO-1 2025'!F120</f>
        <v>980010</v>
      </c>
      <c r="L51" s="100">
        <f t="shared" si="0"/>
        <v>-980010</v>
      </c>
    </row>
    <row r="52" spans="1:12" x14ac:dyDescent="0.25">
      <c r="A52" s="443">
        <v>5500</v>
      </c>
      <c r="B52" s="444"/>
      <c r="C52" s="444"/>
      <c r="D52" s="445" t="s">
        <v>321</v>
      </c>
      <c r="E52" s="445"/>
      <c r="F52" s="445"/>
      <c r="G52" s="445"/>
      <c r="H52" s="445"/>
      <c r="I52" s="446"/>
      <c r="J52" s="107">
        <v>0</v>
      </c>
      <c r="L52" s="100">
        <f t="shared" si="0"/>
        <v>0</v>
      </c>
    </row>
    <row r="53" spans="1:12" x14ac:dyDescent="0.25">
      <c r="A53" s="443">
        <v>5600</v>
      </c>
      <c r="B53" s="444"/>
      <c r="C53" s="444"/>
      <c r="D53" s="445" t="s">
        <v>359</v>
      </c>
      <c r="E53" s="445"/>
      <c r="F53" s="445"/>
      <c r="G53" s="445"/>
      <c r="H53" s="445"/>
      <c r="I53" s="446"/>
      <c r="J53" s="107">
        <f>'PRESU. EGRESOS POR GASTO-1 2025'!F124</f>
        <v>3160870</v>
      </c>
      <c r="K53" s="89" t="e">
        <f>#REF!+#REF!+#REF!+#REF!+#REF!+#REF!+#REF!+#REF!+#REF!+#REF!+#REF!+#REF!+#REF!+#REF!+#REF!+#REF!+#REF!</f>
        <v>#REF!</v>
      </c>
      <c r="L53" s="100" t="e">
        <f t="shared" si="0"/>
        <v>#REF!</v>
      </c>
    </row>
    <row r="54" spans="1:12" x14ac:dyDescent="0.25">
      <c r="A54" s="443">
        <v>5700</v>
      </c>
      <c r="B54" s="444"/>
      <c r="C54" s="444"/>
      <c r="D54" s="445" t="s">
        <v>322</v>
      </c>
      <c r="E54" s="445"/>
      <c r="F54" s="445"/>
      <c r="G54" s="445"/>
      <c r="H54" s="445"/>
      <c r="I54" s="446"/>
      <c r="J54" s="107">
        <v>0</v>
      </c>
      <c r="L54" s="100">
        <f t="shared" si="0"/>
        <v>0</v>
      </c>
    </row>
    <row r="55" spans="1:12" x14ac:dyDescent="0.25">
      <c r="A55" s="443">
        <v>5800</v>
      </c>
      <c r="B55" s="444"/>
      <c r="C55" s="444"/>
      <c r="D55" s="445" t="s">
        <v>360</v>
      </c>
      <c r="E55" s="445"/>
      <c r="F55" s="445"/>
      <c r="G55" s="445"/>
      <c r="H55" s="445"/>
      <c r="I55" s="446"/>
      <c r="J55" s="107">
        <v>0</v>
      </c>
      <c r="L55" s="100">
        <f t="shared" si="0"/>
        <v>0</v>
      </c>
    </row>
    <row r="56" spans="1:12" x14ac:dyDescent="0.25">
      <c r="A56" s="443">
        <v>5900</v>
      </c>
      <c r="B56" s="444"/>
      <c r="C56" s="444"/>
      <c r="D56" s="445" t="s">
        <v>324</v>
      </c>
      <c r="E56" s="445"/>
      <c r="F56" s="445"/>
      <c r="G56" s="445"/>
      <c r="H56" s="445"/>
      <c r="I56" s="446"/>
      <c r="J56" s="107">
        <f>'PRESU. EGRESOS POR GASTO-1 2025'!F135</f>
        <v>15000</v>
      </c>
      <c r="K56" s="89" t="e">
        <f>#REF!</f>
        <v>#REF!</v>
      </c>
      <c r="L56" s="100" t="e">
        <f t="shared" si="0"/>
        <v>#REF!</v>
      </c>
    </row>
    <row r="57" spans="1:12" x14ac:dyDescent="0.25">
      <c r="A57" s="453">
        <v>6000</v>
      </c>
      <c r="B57" s="454"/>
      <c r="C57" s="455" t="s">
        <v>361</v>
      </c>
      <c r="D57" s="455"/>
      <c r="E57" s="455"/>
      <c r="F57" s="455"/>
      <c r="G57" s="455"/>
      <c r="H57" s="455"/>
      <c r="I57" s="456"/>
      <c r="J57" s="106">
        <f>+J58+J59+J60+J61</f>
        <v>2570150</v>
      </c>
      <c r="L57" s="100">
        <f t="shared" si="0"/>
        <v>-2570150</v>
      </c>
    </row>
    <row r="58" spans="1:12" x14ac:dyDescent="0.25">
      <c r="A58" s="443">
        <v>6100</v>
      </c>
      <c r="B58" s="444"/>
      <c r="C58" s="444"/>
      <c r="D58" s="445" t="s">
        <v>326</v>
      </c>
      <c r="E58" s="445"/>
      <c r="F58" s="445"/>
      <c r="G58" s="445"/>
      <c r="H58" s="445"/>
      <c r="I58" s="446"/>
      <c r="J58" s="107">
        <f>+'PRESU. EGRESOS POR GASTO-1 2025'!F138</f>
        <v>2570020</v>
      </c>
      <c r="L58" s="100">
        <f t="shared" si="0"/>
        <v>-2570020</v>
      </c>
    </row>
    <row r="59" spans="1:12" x14ac:dyDescent="0.25">
      <c r="A59" s="443">
        <v>6200</v>
      </c>
      <c r="B59" s="444"/>
      <c r="C59" s="444"/>
      <c r="D59" s="445" t="s">
        <v>139</v>
      </c>
      <c r="E59" s="445"/>
      <c r="F59" s="445"/>
      <c r="G59" s="445"/>
      <c r="H59" s="445"/>
      <c r="I59" s="446"/>
      <c r="J59" s="107">
        <f>'PRESU. EGRESOS POR GASTO-1 2025'!F141</f>
        <v>20</v>
      </c>
      <c r="K59" s="89" t="e">
        <f>#REF!+#REF!+#REF!+#REF!+#REF!+#REF!+#REF!+#REF!</f>
        <v>#REF!</v>
      </c>
      <c r="L59" s="100" t="e">
        <f t="shared" si="0"/>
        <v>#REF!</v>
      </c>
    </row>
    <row r="60" spans="1:12" x14ac:dyDescent="0.25">
      <c r="A60" s="443">
        <v>6300</v>
      </c>
      <c r="B60" s="444"/>
      <c r="C60" s="444"/>
      <c r="D60" s="445" t="s">
        <v>327</v>
      </c>
      <c r="E60" s="445"/>
      <c r="F60" s="445"/>
      <c r="G60" s="445"/>
      <c r="H60" s="445"/>
      <c r="I60" s="446"/>
      <c r="J60" s="107">
        <f>'PRESU. EGRESOS POR GASTO-1 2025'!F143</f>
        <v>110</v>
      </c>
      <c r="L60" s="100">
        <f t="shared" si="0"/>
        <v>-110</v>
      </c>
    </row>
    <row r="61" spans="1:12" x14ac:dyDescent="0.25">
      <c r="A61" s="443">
        <v>6400</v>
      </c>
      <c r="B61" s="444"/>
      <c r="C61" s="444"/>
      <c r="D61" s="445" t="s">
        <v>328</v>
      </c>
      <c r="E61" s="445"/>
      <c r="F61" s="445"/>
      <c r="G61" s="445"/>
      <c r="H61" s="445"/>
      <c r="I61" s="446"/>
      <c r="J61" s="108">
        <v>0</v>
      </c>
      <c r="L61" s="100">
        <f t="shared" si="0"/>
        <v>0</v>
      </c>
    </row>
    <row r="62" spans="1:12" x14ac:dyDescent="0.25">
      <c r="A62" s="453">
        <v>7000</v>
      </c>
      <c r="B62" s="454"/>
      <c r="C62" s="455" t="s">
        <v>362</v>
      </c>
      <c r="D62" s="455"/>
      <c r="E62" s="455"/>
      <c r="F62" s="455"/>
      <c r="G62" s="455"/>
      <c r="H62" s="455"/>
      <c r="I62" s="456"/>
      <c r="J62" s="109">
        <f>SUM(J63:J69)</f>
        <v>0</v>
      </c>
      <c r="L62" s="100">
        <f t="shared" si="0"/>
        <v>0</v>
      </c>
    </row>
    <row r="63" spans="1:12" x14ac:dyDescent="0.25">
      <c r="A63" s="443">
        <v>7100</v>
      </c>
      <c r="B63" s="444"/>
      <c r="C63" s="444"/>
      <c r="D63" s="445" t="s">
        <v>363</v>
      </c>
      <c r="E63" s="445"/>
      <c r="F63" s="445"/>
      <c r="G63" s="445"/>
      <c r="H63" s="445"/>
      <c r="I63" s="446"/>
      <c r="J63" s="108">
        <v>0</v>
      </c>
      <c r="L63" s="100">
        <f t="shared" si="0"/>
        <v>0</v>
      </c>
    </row>
    <row r="64" spans="1:12" x14ac:dyDescent="0.25">
      <c r="A64" s="443">
        <v>7200</v>
      </c>
      <c r="B64" s="444"/>
      <c r="C64" s="444"/>
      <c r="D64" s="445" t="s">
        <v>329</v>
      </c>
      <c r="E64" s="445"/>
      <c r="F64" s="445"/>
      <c r="G64" s="445"/>
      <c r="H64" s="445"/>
      <c r="I64" s="446"/>
      <c r="J64" s="110">
        <v>0</v>
      </c>
      <c r="L64" s="100">
        <f t="shared" si="0"/>
        <v>0</v>
      </c>
    </row>
    <row r="65" spans="1:12" x14ac:dyDescent="0.25">
      <c r="A65" s="443">
        <v>7300</v>
      </c>
      <c r="B65" s="444"/>
      <c r="C65" s="444"/>
      <c r="D65" s="445" t="s">
        <v>330</v>
      </c>
      <c r="E65" s="445"/>
      <c r="F65" s="445"/>
      <c r="G65" s="445"/>
      <c r="H65" s="445"/>
      <c r="I65" s="446"/>
      <c r="J65" s="108">
        <v>0</v>
      </c>
      <c r="L65" s="100">
        <f t="shared" si="0"/>
        <v>0</v>
      </c>
    </row>
    <row r="66" spans="1:12" x14ac:dyDescent="0.25">
      <c r="A66" s="443">
        <v>7400</v>
      </c>
      <c r="B66" s="444"/>
      <c r="C66" s="444"/>
      <c r="D66" s="445" t="s">
        <v>364</v>
      </c>
      <c r="E66" s="445"/>
      <c r="F66" s="445"/>
      <c r="G66" s="445"/>
      <c r="H66" s="445"/>
      <c r="I66" s="446"/>
      <c r="J66" s="108">
        <v>0</v>
      </c>
      <c r="L66" s="100">
        <f t="shared" si="0"/>
        <v>0</v>
      </c>
    </row>
    <row r="67" spans="1:12" x14ac:dyDescent="0.25">
      <c r="A67" s="443">
        <v>7500</v>
      </c>
      <c r="B67" s="444"/>
      <c r="C67" s="444"/>
      <c r="D67" s="445" t="s">
        <v>365</v>
      </c>
      <c r="E67" s="445"/>
      <c r="F67" s="445"/>
      <c r="G67" s="445"/>
      <c r="H67" s="445"/>
      <c r="I67" s="446"/>
      <c r="J67" s="108">
        <v>0</v>
      </c>
      <c r="L67" s="100">
        <f t="shared" si="0"/>
        <v>0</v>
      </c>
    </row>
    <row r="68" spans="1:12" x14ac:dyDescent="0.25">
      <c r="A68" s="443">
        <v>7600</v>
      </c>
      <c r="B68" s="444"/>
      <c r="C68" s="444"/>
      <c r="D68" s="445" t="s">
        <v>331</v>
      </c>
      <c r="E68" s="445"/>
      <c r="F68" s="445"/>
      <c r="G68" s="445"/>
      <c r="H68" s="445"/>
      <c r="I68" s="446"/>
      <c r="J68" s="108">
        <v>0</v>
      </c>
      <c r="L68" s="100">
        <f t="shared" si="0"/>
        <v>0</v>
      </c>
    </row>
    <row r="69" spans="1:12" x14ac:dyDescent="0.25">
      <c r="A69" s="443">
        <v>7900</v>
      </c>
      <c r="B69" s="444"/>
      <c r="C69" s="444"/>
      <c r="D69" s="445" t="s">
        <v>366</v>
      </c>
      <c r="E69" s="445"/>
      <c r="F69" s="445"/>
      <c r="G69" s="445"/>
      <c r="H69" s="445"/>
      <c r="I69" s="446"/>
      <c r="J69" s="108">
        <f>'PRESU. EGRESOS POR GASTO-1 2025'!F147</f>
        <v>0</v>
      </c>
      <c r="K69" s="89" t="e">
        <f>#REF!</f>
        <v>#REF!</v>
      </c>
      <c r="L69" s="100" t="e">
        <f t="shared" si="0"/>
        <v>#REF!</v>
      </c>
    </row>
    <row r="70" spans="1:12" x14ac:dyDescent="0.25">
      <c r="A70" s="453">
        <v>8000</v>
      </c>
      <c r="B70" s="454"/>
      <c r="C70" s="455" t="s">
        <v>367</v>
      </c>
      <c r="D70" s="455"/>
      <c r="E70" s="455"/>
      <c r="F70" s="455"/>
      <c r="G70" s="455"/>
      <c r="H70" s="455"/>
      <c r="I70" s="456"/>
      <c r="J70" s="109">
        <f>SUM(J71:J73)</f>
        <v>0</v>
      </c>
      <c r="L70" s="100">
        <f t="shared" si="0"/>
        <v>0</v>
      </c>
    </row>
    <row r="71" spans="1:12" x14ac:dyDescent="0.25">
      <c r="A71" s="443">
        <v>8100</v>
      </c>
      <c r="B71" s="444"/>
      <c r="C71" s="444" t="s">
        <v>368</v>
      </c>
      <c r="D71" s="445" t="s">
        <v>369</v>
      </c>
      <c r="E71" s="445"/>
      <c r="F71" s="445"/>
      <c r="G71" s="445"/>
      <c r="H71" s="445"/>
      <c r="I71" s="446"/>
      <c r="J71" s="108">
        <v>0</v>
      </c>
      <c r="L71" s="100">
        <f t="shared" si="0"/>
        <v>0</v>
      </c>
    </row>
    <row r="72" spans="1:12" x14ac:dyDescent="0.25">
      <c r="A72" s="443">
        <v>8300</v>
      </c>
      <c r="B72" s="444"/>
      <c r="C72" s="444" t="s">
        <v>332</v>
      </c>
      <c r="D72" s="445" t="s">
        <v>332</v>
      </c>
      <c r="E72" s="445"/>
      <c r="F72" s="445"/>
      <c r="G72" s="445"/>
      <c r="H72" s="445"/>
      <c r="I72" s="446"/>
      <c r="J72" s="108">
        <v>0</v>
      </c>
      <c r="L72" s="100">
        <f t="shared" si="0"/>
        <v>0</v>
      </c>
    </row>
    <row r="73" spans="1:12" ht="15.75" thickBot="1" x14ac:dyDescent="0.3">
      <c r="A73" s="443">
        <v>8500</v>
      </c>
      <c r="B73" s="444"/>
      <c r="C73" s="444" t="s">
        <v>333</v>
      </c>
      <c r="D73" s="445" t="s">
        <v>333</v>
      </c>
      <c r="E73" s="445"/>
      <c r="F73" s="445"/>
      <c r="G73" s="445"/>
      <c r="H73" s="445"/>
      <c r="I73" s="446"/>
      <c r="J73" s="108">
        <v>0</v>
      </c>
      <c r="L73" s="100">
        <f t="shared" si="0"/>
        <v>0</v>
      </c>
    </row>
    <row r="74" spans="1:12" x14ac:dyDescent="0.25">
      <c r="A74" s="104">
        <v>3</v>
      </c>
      <c r="B74" s="451" t="s">
        <v>370</v>
      </c>
      <c r="C74" s="451"/>
      <c r="D74" s="451"/>
      <c r="E74" s="451"/>
      <c r="F74" s="451"/>
      <c r="G74" s="451"/>
      <c r="H74" s="451"/>
      <c r="I74" s="452"/>
      <c r="J74" s="105">
        <f>+J75</f>
        <v>0</v>
      </c>
      <c r="L74" s="100">
        <f t="shared" si="0"/>
        <v>0</v>
      </c>
    </row>
    <row r="75" spans="1:12" x14ac:dyDescent="0.25">
      <c r="A75" s="453">
        <v>9000</v>
      </c>
      <c r="B75" s="454"/>
      <c r="C75" s="455" t="s">
        <v>371</v>
      </c>
      <c r="D75" s="455"/>
      <c r="E75" s="455"/>
      <c r="F75" s="455"/>
      <c r="G75" s="455"/>
      <c r="H75" s="455"/>
      <c r="I75" s="456"/>
      <c r="J75" s="106">
        <f>SUM(J76:J82)</f>
        <v>0</v>
      </c>
      <c r="L75" s="100">
        <f t="shared" ref="L75:L82" si="1">K75-J75</f>
        <v>0</v>
      </c>
    </row>
    <row r="76" spans="1:12" x14ac:dyDescent="0.25">
      <c r="A76" s="443">
        <v>9100</v>
      </c>
      <c r="B76" s="444"/>
      <c r="C76" s="444"/>
      <c r="D76" s="445" t="s">
        <v>372</v>
      </c>
      <c r="E76" s="445"/>
      <c r="F76" s="445"/>
      <c r="G76" s="445"/>
      <c r="H76" s="445"/>
      <c r="I76" s="446"/>
      <c r="J76" s="108">
        <v>0</v>
      </c>
      <c r="L76" s="100">
        <f t="shared" si="1"/>
        <v>0</v>
      </c>
    </row>
    <row r="77" spans="1:12" x14ac:dyDescent="0.25">
      <c r="A77" s="443">
        <v>9200</v>
      </c>
      <c r="B77" s="444"/>
      <c r="C77" s="444"/>
      <c r="D77" s="445" t="s">
        <v>373</v>
      </c>
      <c r="E77" s="445"/>
      <c r="F77" s="445"/>
      <c r="G77" s="445"/>
      <c r="H77" s="445"/>
      <c r="I77" s="446"/>
      <c r="J77" s="108">
        <v>0</v>
      </c>
      <c r="L77" s="100">
        <f t="shared" si="1"/>
        <v>0</v>
      </c>
    </row>
    <row r="78" spans="1:12" x14ac:dyDescent="0.25">
      <c r="A78" s="443">
        <v>9300</v>
      </c>
      <c r="B78" s="444"/>
      <c r="C78" s="444"/>
      <c r="D78" s="445" t="s">
        <v>374</v>
      </c>
      <c r="E78" s="445"/>
      <c r="F78" s="445"/>
      <c r="G78" s="445"/>
      <c r="H78" s="445"/>
      <c r="I78" s="446"/>
      <c r="J78" s="108">
        <v>0</v>
      </c>
      <c r="L78" s="100">
        <f t="shared" si="1"/>
        <v>0</v>
      </c>
    </row>
    <row r="79" spans="1:12" x14ac:dyDescent="0.25">
      <c r="A79" s="443">
        <v>9400</v>
      </c>
      <c r="B79" s="444"/>
      <c r="C79" s="444"/>
      <c r="D79" s="445" t="s">
        <v>375</v>
      </c>
      <c r="E79" s="445"/>
      <c r="F79" s="445"/>
      <c r="G79" s="445"/>
      <c r="H79" s="445"/>
      <c r="I79" s="446"/>
      <c r="J79" s="108">
        <v>0</v>
      </c>
      <c r="L79" s="100">
        <f t="shared" si="1"/>
        <v>0</v>
      </c>
    </row>
    <row r="80" spans="1:12" x14ac:dyDescent="0.25">
      <c r="A80" s="443">
        <v>9500</v>
      </c>
      <c r="B80" s="444"/>
      <c r="C80" s="444"/>
      <c r="D80" s="445" t="s">
        <v>376</v>
      </c>
      <c r="E80" s="445"/>
      <c r="F80" s="445"/>
      <c r="G80" s="445"/>
      <c r="H80" s="445"/>
      <c r="I80" s="446"/>
      <c r="J80" s="108">
        <v>0</v>
      </c>
      <c r="L80" s="100">
        <f t="shared" si="1"/>
        <v>0</v>
      </c>
    </row>
    <row r="81" spans="1:12" x14ac:dyDescent="0.25">
      <c r="A81" s="443">
        <v>9600</v>
      </c>
      <c r="B81" s="444"/>
      <c r="C81" s="444"/>
      <c r="D81" s="445" t="s">
        <v>377</v>
      </c>
      <c r="E81" s="445"/>
      <c r="F81" s="445"/>
      <c r="G81" s="445"/>
      <c r="H81" s="445"/>
      <c r="I81" s="446"/>
      <c r="J81" s="108">
        <v>0</v>
      </c>
      <c r="L81" s="100">
        <f t="shared" si="1"/>
        <v>0</v>
      </c>
    </row>
    <row r="82" spans="1:12" ht="15.75" thickBot="1" x14ac:dyDescent="0.3">
      <c r="A82" s="447">
        <v>9900</v>
      </c>
      <c r="B82" s="448"/>
      <c r="C82" s="448"/>
      <c r="D82" s="449" t="s">
        <v>378</v>
      </c>
      <c r="E82" s="449"/>
      <c r="F82" s="449"/>
      <c r="G82" s="449"/>
      <c r="H82" s="449"/>
      <c r="I82" s="450"/>
      <c r="J82" s="101">
        <f>'PRESU. EGRESOS POR GASTO-1 2025'!F151</f>
        <v>0</v>
      </c>
      <c r="L82" s="100">
        <f t="shared" si="1"/>
        <v>0</v>
      </c>
    </row>
  </sheetData>
  <mergeCells count="152">
    <mergeCell ref="C3:I3"/>
    <mergeCell ref="C4:I4"/>
    <mergeCell ref="C5:I5"/>
    <mergeCell ref="A6:I6"/>
    <mergeCell ref="A7:I7"/>
    <mergeCell ref="B8:I8"/>
    <mergeCell ref="A12:C12"/>
    <mergeCell ref="D12:I12"/>
    <mergeCell ref="A13:C13"/>
    <mergeCell ref="D13:I13"/>
    <mergeCell ref="A14:C14"/>
    <mergeCell ref="D14:I14"/>
    <mergeCell ref="A9:B9"/>
    <mergeCell ref="C9:I9"/>
    <mergeCell ref="A10:C10"/>
    <mergeCell ref="D10:I10"/>
    <mergeCell ref="A11:C11"/>
    <mergeCell ref="D11:I11"/>
    <mergeCell ref="A18:B18"/>
    <mergeCell ref="C18:I18"/>
    <mergeCell ref="A19:C19"/>
    <mergeCell ref="D19:I19"/>
    <mergeCell ref="A20:C20"/>
    <mergeCell ref="D20:I20"/>
    <mergeCell ref="A15:C15"/>
    <mergeCell ref="D15:I15"/>
    <mergeCell ref="A16:C16"/>
    <mergeCell ref="D16:I16"/>
    <mergeCell ref="A17:C17"/>
    <mergeCell ref="D17:I17"/>
    <mergeCell ref="A24:C24"/>
    <mergeCell ref="D24:I24"/>
    <mergeCell ref="A25:C25"/>
    <mergeCell ref="D25:I25"/>
    <mergeCell ref="A26:C26"/>
    <mergeCell ref="D26:I26"/>
    <mergeCell ref="A21:C21"/>
    <mergeCell ref="D21:I21"/>
    <mergeCell ref="A22:C22"/>
    <mergeCell ref="D22:I22"/>
    <mergeCell ref="A23:C23"/>
    <mergeCell ref="D23:I23"/>
    <mergeCell ref="A30:C30"/>
    <mergeCell ref="D30:I30"/>
    <mergeCell ref="A31:C31"/>
    <mergeCell ref="D31:I31"/>
    <mergeCell ref="A32:C32"/>
    <mergeCell ref="D32:I32"/>
    <mergeCell ref="A27:C27"/>
    <mergeCell ref="D27:I27"/>
    <mergeCell ref="A28:B28"/>
    <mergeCell ref="C28:I28"/>
    <mergeCell ref="A29:C29"/>
    <mergeCell ref="D29:I29"/>
    <mergeCell ref="A36:C36"/>
    <mergeCell ref="D36:I36"/>
    <mergeCell ref="A37:C37"/>
    <mergeCell ref="D37:I37"/>
    <mergeCell ref="A38:B38"/>
    <mergeCell ref="C38:I38"/>
    <mergeCell ref="A33:C33"/>
    <mergeCell ref="D33:I33"/>
    <mergeCell ref="A34:C34"/>
    <mergeCell ref="D34:I34"/>
    <mergeCell ref="A35:C35"/>
    <mergeCell ref="D35:I35"/>
    <mergeCell ref="A42:C42"/>
    <mergeCell ref="D42:I42"/>
    <mergeCell ref="A43:C43"/>
    <mergeCell ref="D43:I43"/>
    <mergeCell ref="A44:C44"/>
    <mergeCell ref="D44:I44"/>
    <mergeCell ref="A39:C39"/>
    <mergeCell ref="D39:I39"/>
    <mergeCell ref="A40:C40"/>
    <mergeCell ref="D40:I40"/>
    <mergeCell ref="A41:C41"/>
    <mergeCell ref="D41:I41"/>
    <mergeCell ref="A49:C49"/>
    <mergeCell ref="D49:I49"/>
    <mergeCell ref="A50:C50"/>
    <mergeCell ref="D50:I50"/>
    <mergeCell ref="A51:C51"/>
    <mergeCell ref="D51:I51"/>
    <mergeCell ref="A45:C45"/>
    <mergeCell ref="D45:I45"/>
    <mergeCell ref="B46:I46"/>
    <mergeCell ref="A47:B47"/>
    <mergeCell ref="C47:I47"/>
    <mergeCell ref="A48:C48"/>
    <mergeCell ref="D48:I48"/>
    <mergeCell ref="A55:C55"/>
    <mergeCell ref="D55:I55"/>
    <mergeCell ref="A56:C56"/>
    <mergeCell ref="D56:I56"/>
    <mergeCell ref="A57:B57"/>
    <mergeCell ref="C57:I57"/>
    <mergeCell ref="A52:C52"/>
    <mergeCell ref="D52:I52"/>
    <mergeCell ref="A53:C53"/>
    <mergeCell ref="D53:I53"/>
    <mergeCell ref="A54:C54"/>
    <mergeCell ref="D54:I54"/>
    <mergeCell ref="A61:C61"/>
    <mergeCell ref="D61:I61"/>
    <mergeCell ref="A62:B62"/>
    <mergeCell ref="C62:I62"/>
    <mergeCell ref="A63:C63"/>
    <mergeCell ref="D63:I63"/>
    <mergeCell ref="A58:C58"/>
    <mergeCell ref="D58:I58"/>
    <mergeCell ref="A59:C59"/>
    <mergeCell ref="D59:I59"/>
    <mergeCell ref="A60:C60"/>
    <mergeCell ref="D60:I60"/>
    <mergeCell ref="A67:C67"/>
    <mergeCell ref="D67:I67"/>
    <mergeCell ref="A68:C68"/>
    <mergeCell ref="D68:I68"/>
    <mergeCell ref="A69:C69"/>
    <mergeCell ref="D69:I69"/>
    <mergeCell ref="A64:C64"/>
    <mergeCell ref="D64:I64"/>
    <mergeCell ref="A65:C65"/>
    <mergeCell ref="D65:I65"/>
    <mergeCell ref="A66:C66"/>
    <mergeCell ref="D66:I66"/>
    <mergeCell ref="A73:C73"/>
    <mergeCell ref="D73:I73"/>
    <mergeCell ref="B74:I74"/>
    <mergeCell ref="A75:B75"/>
    <mergeCell ref="C75:I75"/>
    <mergeCell ref="A76:C76"/>
    <mergeCell ref="D76:I76"/>
    <mergeCell ref="A70:B70"/>
    <mergeCell ref="C70:I70"/>
    <mergeCell ref="A71:C71"/>
    <mergeCell ref="D71:I71"/>
    <mergeCell ref="A72:C72"/>
    <mergeCell ref="D72:I72"/>
    <mergeCell ref="A80:C80"/>
    <mergeCell ref="D80:I80"/>
    <mergeCell ref="A81:C81"/>
    <mergeCell ref="D81:I81"/>
    <mergeCell ref="A82:C82"/>
    <mergeCell ref="D82:I82"/>
    <mergeCell ref="A77:C77"/>
    <mergeCell ref="D77:I77"/>
    <mergeCell ref="A78:C78"/>
    <mergeCell ref="D78:I78"/>
    <mergeCell ref="A79:C79"/>
    <mergeCell ref="D79:I79"/>
  </mergeCells>
  <pageMargins left="0.7" right="0.7" top="0.75" bottom="0.75" header="0.3" footer="0.3"/>
  <pageSetup paperSize="5" scale="62" orientation="portrait" r:id="rId1"/>
  <headerFooter>
    <oddFooter>&amp;R&amp;P/&amp;N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FF0000"/>
    <pageSetUpPr fitToPage="1"/>
  </sheetPr>
  <dimension ref="A1:L17"/>
  <sheetViews>
    <sheetView workbookViewId="0">
      <selection sqref="A1:M30"/>
    </sheetView>
  </sheetViews>
  <sheetFormatPr baseColWidth="10" defaultRowHeight="15" x14ac:dyDescent="0.25"/>
  <cols>
    <col min="8" max="8" width="4.140625" customWidth="1"/>
    <col min="9" max="10" width="11.42578125" hidden="1" customWidth="1"/>
    <col min="11" max="11" width="15.140625" bestFit="1" customWidth="1"/>
  </cols>
  <sheetData>
    <row r="1" spans="1:12" x14ac:dyDescent="0.25">
      <c r="A1" t="s">
        <v>536</v>
      </c>
    </row>
    <row r="3" spans="1:12" ht="22.5" x14ac:dyDescent="0.3">
      <c r="B3" s="467" t="s">
        <v>379</v>
      </c>
      <c r="C3" s="467"/>
      <c r="D3" s="467"/>
      <c r="E3" s="467"/>
      <c r="F3" s="467"/>
      <c r="G3" s="467"/>
      <c r="H3" s="467"/>
      <c r="I3" s="467"/>
      <c r="J3" s="467"/>
      <c r="K3" s="467"/>
    </row>
    <row r="4" spans="1:12" ht="39.75" customHeight="1" x14ac:dyDescent="0.3">
      <c r="C4" s="410" t="s">
        <v>574</v>
      </c>
      <c r="D4" s="410"/>
      <c r="E4" s="410"/>
      <c r="F4" s="410"/>
      <c r="G4" s="410"/>
      <c r="H4" s="410"/>
      <c r="I4" s="410"/>
      <c r="J4" s="410"/>
      <c r="K4" s="410"/>
    </row>
    <row r="5" spans="1:12" ht="18.75" x14ac:dyDescent="0.3">
      <c r="D5" s="411" t="s">
        <v>380</v>
      </c>
      <c r="E5" s="411"/>
      <c r="F5" s="411"/>
      <c r="G5" s="411"/>
      <c r="H5" s="411"/>
      <c r="I5" s="411"/>
      <c r="J5" s="411"/>
      <c r="K5" s="100"/>
    </row>
    <row r="6" spans="1:12" ht="16.5" thickBot="1" x14ac:dyDescent="0.3">
      <c r="B6" s="461"/>
      <c r="C6" s="461"/>
      <c r="D6" s="461"/>
      <c r="E6" s="461"/>
      <c r="F6" s="461"/>
      <c r="G6" s="461"/>
      <c r="H6" s="461"/>
      <c r="I6" s="461"/>
      <c r="J6" s="461"/>
      <c r="K6" s="111" t="s">
        <v>47</v>
      </c>
    </row>
    <row r="7" spans="1:12" ht="16.5" thickBot="1" x14ac:dyDescent="0.3">
      <c r="B7" s="468" t="s">
        <v>48</v>
      </c>
      <c r="C7" s="469"/>
      <c r="D7" s="469"/>
      <c r="E7" s="469"/>
      <c r="F7" s="469"/>
      <c r="G7" s="469"/>
      <c r="H7" s="469"/>
      <c r="I7" s="469"/>
      <c r="J7" s="470"/>
      <c r="K7" s="112">
        <f>K8</f>
        <v>29595902.13060974</v>
      </c>
    </row>
    <row r="8" spans="1:12" ht="15.75" thickBot="1" x14ac:dyDescent="0.3">
      <c r="B8" s="475" t="s">
        <v>470</v>
      </c>
      <c r="C8" s="476"/>
      <c r="D8" s="477" t="s">
        <v>379</v>
      </c>
      <c r="E8" s="477"/>
      <c r="F8" s="477"/>
      <c r="G8" s="477"/>
      <c r="H8" s="477"/>
      <c r="I8" s="477"/>
      <c r="J8" s="477"/>
      <c r="K8" s="113">
        <f>SUM(K9:K14)</f>
        <v>29595902.13060974</v>
      </c>
    </row>
    <row r="9" spans="1:12" x14ac:dyDescent="0.25">
      <c r="B9" s="471" t="str">
        <f>'PRES EGRESO PROG 2025'!D8</f>
        <v>31120-8106</v>
      </c>
      <c r="C9" s="472"/>
      <c r="D9" s="473" t="str">
        <f>'PRES EGRESO PROG 2025'!I8</f>
        <v>JEFE  DE  FONTANEROS  Y  BOMBEOS</v>
      </c>
      <c r="E9" s="473"/>
      <c r="F9" s="473"/>
      <c r="G9" s="473"/>
      <c r="H9" s="473"/>
      <c r="I9" s="473"/>
      <c r="J9" s="474"/>
      <c r="K9" s="114">
        <f>'PRES EGRESO PROG 2025'!W8</f>
        <v>5887056.1208982784</v>
      </c>
    </row>
    <row r="10" spans="1:12" x14ac:dyDescent="0.25">
      <c r="B10" s="465" t="str">
        <f>'PRES EGRESO PROG 2025'!D48</f>
        <v>31120-8101</v>
      </c>
      <c r="C10" s="444"/>
      <c r="D10" s="445" t="str">
        <f>'PRES EGRESO PROG 2025'!I48</f>
        <v xml:space="preserve">CONSEJO DIRECTIVO </v>
      </c>
      <c r="E10" s="445"/>
      <c r="F10" s="445"/>
      <c r="G10" s="445"/>
      <c r="H10" s="445"/>
      <c r="I10" s="445"/>
      <c r="J10" s="446"/>
      <c r="K10" s="115">
        <f>'PRES EGRESO PROG 2025'!W48</f>
        <v>136010</v>
      </c>
      <c r="L10" s="89"/>
    </row>
    <row r="11" spans="1:12" x14ac:dyDescent="0.25">
      <c r="B11" s="465" t="str">
        <f>'PRES EGRESO PROG 2025'!D54</f>
        <v>31120-8102</v>
      </c>
      <c r="C11" s="444"/>
      <c r="D11" s="466" t="str">
        <f>'PRES EGRESO PROG 2025'!I54</f>
        <v xml:space="preserve">DIRECTOR GENERAL </v>
      </c>
      <c r="E11" s="445"/>
      <c r="F11" s="445"/>
      <c r="G11" s="445"/>
      <c r="H11" s="445"/>
      <c r="I11" s="445"/>
      <c r="J11" s="446"/>
      <c r="K11" s="115">
        <f>'PRES EGRESO PROG 2025'!W54</f>
        <v>6679846.9688137025</v>
      </c>
    </row>
    <row r="12" spans="1:12" x14ac:dyDescent="0.25">
      <c r="B12" s="465" t="str">
        <f>'PRES EGRESO PROG 2025'!D102</f>
        <v>31120-8103</v>
      </c>
      <c r="C12" s="444"/>
      <c r="D12" s="445" t="str">
        <f>'PRES EGRESO PROG 2025'!I102</f>
        <v>JEFE DE CONTABILIDAD</v>
      </c>
      <c r="E12" s="445"/>
      <c r="F12" s="445"/>
      <c r="G12" s="445"/>
      <c r="H12" s="445"/>
      <c r="I12" s="445"/>
      <c r="J12" s="446"/>
      <c r="K12" s="115">
        <f>'PRES EGRESO PROG 2025'!W102</f>
        <v>2590312.1685614488</v>
      </c>
    </row>
    <row r="13" spans="1:12" x14ac:dyDescent="0.25">
      <c r="B13" s="465" t="str">
        <f>'PRES EGRESO PROG 2025'!D116</f>
        <v>31120-8105</v>
      </c>
      <c r="C13" s="444"/>
      <c r="D13" s="445" t="str">
        <f>'PRES EGRESO PROG 2025'!I116</f>
        <v>OPERACION ABASTECIMIENTO Y CONDUCCION DE AGUA</v>
      </c>
      <c r="E13" s="445"/>
      <c r="F13" s="445"/>
      <c r="G13" s="445"/>
      <c r="H13" s="445"/>
      <c r="I13" s="445"/>
      <c r="J13" s="446"/>
      <c r="K13" s="94">
        <f>'PRES EGRESO PROG 2025'!W116</f>
        <v>14302676.872336309</v>
      </c>
    </row>
    <row r="14" spans="1:12" x14ac:dyDescent="0.25">
      <c r="B14" s="465"/>
      <c r="C14" s="444"/>
      <c r="D14" s="445"/>
      <c r="E14" s="445"/>
      <c r="F14" s="445"/>
      <c r="G14" s="445"/>
      <c r="H14" s="445"/>
      <c r="I14" s="445"/>
      <c r="J14" s="446"/>
      <c r="K14" s="94"/>
    </row>
    <row r="17" spans="11:11" x14ac:dyDescent="0.25">
      <c r="K17" s="100"/>
    </row>
  </sheetData>
  <mergeCells count="19">
    <mergeCell ref="B9:C9"/>
    <mergeCell ref="D9:J9"/>
    <mergeCell ref="B10:C10"/>
    <mergeCell ref="B8:C8"/>
    <mergeCell ref="D8:J8"/>
    <mergeCell ref="D10:J10"/>
    <mergeCell ref="B3:K3"/>
    <mergeCell ref="D5:J5"/>
    <mergeCell ref="B6:J6"/>
    <mergeCell ref="B7:J7"/>
    <mergeCell ref="C4:K4"/>
    <mergeCell ref="B11:C11"/>
    <mergeCell ref="D11:J11"/>
    <mergeCell ref="B14:C14"/>
    <mergeCell ref="D14:J14"/>
    <mergeCell ref="B12:C12"/>
    <mergeCell ref="D12:J12"/>
    <mergeCell ref="B13:C13"/>
    <mergeCell ref="D13:J13"/>
  </mergeCells>
  <pageMargins left="0.39370078740157483" right="0.39370078740157483" top="0.39370078740157483" bottom="0.39370078740157483" header="0.31496062992125984" footer="0.31496062992125984"/>
  <pageSetup paperSize="5" scale="81" fitToHeight="0" orientation="portrait" r:id="rId1"/>
  <headerFooter>
    <oddFooter>&amp;R&amp;P/&amp;N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"/>
  <sheetViews>
    <sheetView topLeftCell="A7" zoomScale="110" zoomScaleNormal="110" workbookViewId="0">
      <selection activeCell="J5" sqref="J5"/>
    </sheetView>
  </sheetViews>
  <sheetFormatPr baseColWidth="10" defaultRowHeight="15" x14ac:dyDescent="0.25"/>
  <sheetData/>
  <pageMargins left="0.9055118110236221" right="0.11811023622047245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PRONOSTICO 1RA ING </vt:lpstr>
      <vt:lpstr>ANALITICO DE PLAZAS</vt:lpstr>
      <vt:lpstr>PLANTILLA 2025</vt:lpstr>
      <vt:lpstr>PRES EGRESO PROG 2025</vt:lpstr>
      <vt:lpstr>PRESU. EGRESOS POR GASTO-1 2025</vt:lpstr>
      <vt:lpstr>CLASI. POR TIPO DE GASTO</vt:lpstr>
      <vt:lpstr>CLASIFICACION ADMINISTRATIVA</vt:lpstr>
      <vt:lpstr>organigrama</vt:lpstr>
      <vt:lpstr>'PLANTILLA 2025'!Área_de_impresión</vt:lpstr>
      <vt:lpstr>'PRES EGRESO PROG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agua1</dc:creator>
  <cp:lastModifiedBy>Hewlett-Packard Company</cp:lastModifiedBy>
  <cp:lastPrinted>2025-05-28T20:36:33Z</cp:lastPrinted>
  <dcterms:created xsi:type="dcterms:W3CDTF">2016-08-14T19:24:35Z</dcterms:created>
  <dcterms:modified xsi:type="dcterms:W3CDTF">2025-05-28T20:36:38Z</dcterms:modified>
</cp:coreProperties>
</file>